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Kashif Javaid\Dropbox\ACS Digital Marketing\"/>
    </mc:Choice>
  </mc:AlternateContent>
  <xr:revisionPtr revIDLastSave="0" documentId="13_ncr:1_{B8FCF63F-C526-430B-91AB-30F1B1DC23D5}" xr6:coauthVersionLast="45" xr6:coauthVersionMax="45" xr10:uidLastSave="{00000000-0000-0000-0000-000000000000}"/>
  <bookViews>
    <workbookView xWindow="-110" yWindow="-110" windowWidth="19420" windowHeight="10420" tabRatio="590" xr2:uid="{00000000-000D-0000-FFFF-FFFF00000000}"/>
  </bookViews>
  <sheets>
    <sheet name="Cover Page" sheetId="23" r:id="rId1"/>
    <sheet name="Business Valuation (DFC) Model" sheetId="21" r:id="rId2"/>
    <sheet name="Revenue Assumptions" sheetId="26" r:id="rId3"/>
    <sheet name="Misc. Assumptions" sheetId="27" r:id="rId4"/>
  </sheets>
  <definedNames>
    <definedName name="CIQWBGuid" hidden="1">"2cd8126d-26c3-430c-b7fa-a069e3a1fc62"</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"10/01/2018 15:52:08"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0">'Cover Page'!$B$3:$O$23</definedName>
  </definedNames>
  <calcPr calcId="181029" iterate="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18" i="21" l="1"/>
  <c r="D331" i="21" l="1"/>
  <c r="E331" i="21" s="1"/>
  <c r="F331" i="21" s="1"/>
  <c r="G331" i="21" s="1"/>
  <c r="H331" i="21" s="1"/>
  <c r="I331" i="21" s="1"/>
  <c r="J331" i="21" s="1"/>
  <c r="K331" i="21" s="1"/>
  <c r="L331" i="21" s="1"/>
  <c r="M331" i="21" s="1"/>
  <c r="D447" i="21" l="1"/>
  <c r="E447" i="21" s="1"/>
  <c r="F447" i="21" s="1"/>
  <c r="G447" i="21" s="1"/>
  <c r="H447" i="21" s="1"/>
  <c r="I447" i="21" s="1"/>
  <c r="J447" i="21" s="1"/>
  <c r="K447" i="21" s="1"/>
  <c r="L447" i="21" s="1"/>
  <c r="M447" i="21" s="1"/>
  <c r="D413" i="21"/>
  <c r="E413" i="21" s="1"/>
  <c r="F413" i="21" s="1"/>
  <c r="G413" i="21" s="1"/>
  <c r="H413" i="21" s="1"/>
  <c r="I413" i="21" s="1"/>
  <c r="J413" i="21" s="1"/>
  <c r="K413" i="21" s="1"/>
  <c r="L413" i="21" s="1"/>
  <c r="M413" i="21" s="1"/>
  <c r="D385" i="21"/>
  <c r="E385" i="21" s="1"/>
  <c r="F385" i="21" s="1"/>
  <c r="G385" i="21" s="1"/>
  <c r="H385" i="21" s="1"/>
  <c r="I385" i="21" s="1"/>
  <c r="J385" i="21" s="1"/>
  <c r="K385" i="21" s="1"/>
  <c r="L385" i="21" s="1"/>
  <c r="M385" i="21" s="1"/>
  <c r="B319" i="21" l="1"/>
  <c r="B320" i="21" s="1"/>
  <c r="B321" i="21" s="1"/>
  <c r="B322" i="21" s="1"/>
  <c r="B323" i="21" s="1"/>
  <c r="B324" i="21" s="1"/>
  <c r="B325" i="21" s="1"/>
  <c r="B326" i="21" s="1"/>
  <c r="D317" i="21"/>
  <c r="E317" i="21" s="1"/>
  <c r="F317" i="21" s="1"/>
  <c r="G317" i="21" s="1"/>
  <c r="H317" i="21" s="1"/>
  <c r="I317" i="21" s="1"/>
  <c r="J317" i="21" s="1"/>
  <c r="K317" i="21" s="1"/>
  <c r="L317" i="21" s="1"/>
  <c r="M317" i="21" s="1"/>
  <c r="D304" i="21"/>
  <c r="E304" i="21" s="1"/>
  <c r="F304" i="21" s="1"/>
  <c r="G304" i="21" s="1"/>
  <c r="H304" i="21" s="1"/>
  <c r="I304" i="21" s="1"/>
  <c r="B306" i="21"/>
  <c r="B307" i="21" s="1"/>
  <c r="B308" i="21" s="1"/>
  <c r="B309" i="21" s="1"/>
  <c r="B310" i="21" s="1"/>
  <c r="B311" i="21" s="1"/>
  <c r="B312" i="21" s="1"/>
  <c r="B313" i="21" s="1"/>
  <c r="D291" i="21"/>
  <c r="E291" i="21" s="1"/>
  <c r="F291" i="21" s="1"/>
  <c r="G291" i="21" s="1"/>
  <c r="H291" i="21" s="1"/>
  <c r="I291" i="21" s="1"/>
  <c r="J291" i="21" s="1"/>
  <c r="K291" i="21" s="1"/>
  <c r="L291" i="21" s="1"/>
  <c r="M291" i="21" s="1"/>
  <c r="B293" i="21"/>
  <c r="B294" i="21" s="1"/>
  <c r="B295" i="21" s="1"/>
  <c r="B296" i="21" s="1"/>
  <c r="B297" i="21" s="1"/>
  <c r="B298" i="21" s="1"/>
  <c r="B299" i="21" s="1"/>
  <c r="B300" i="21" s="1"/>
  <c r="B280" i="21"/>
  <c r="B281" i="21" s="1"/>
  <c r="B282" i="21" s="1"/>
  <c r="B283" i="21" s="1"/>
  <c r="B284" i="21" s="1"/>
  <c r="B285" i="21" s="1"/>
  <c r="B286" i="21" s="1"/>
  <c r="B287" i="21" s="1"/>
  <c r="D278" i="21"/>
  <c r="E278" i="21" s="1"/>
  <c r="F278" i="21" s="1"/>
  <c r="G278" i="21" s="1"/>
  <c r="H278" i="21" s="1"/>
  <c r="I278" i="21" s="1"/>
  <c r="J278" i="21" s="1"/>
  <c r="K278" i="21" s="1"/>
  <c r="L278" i="21" s="1"/>
  <c r="M278" i="21" s="1"/>
  <c r="B267" i="21"/>
  <c r="B268" i="21" s="1"/>
  <c r="B269" i="21" s="1"/>
  <c r="B270" i="21" s="1"/>
  <c r="B271" i="21" s="1"/>
  <c r="B272" i="21" s="1"/>
  <c r="B273" i="21" s="1"/>
  <c r="B274" i="21" s="1"/>
  <c r="D265" i="21"/>
  <c r="E265" i="21" s="1"/>
  <c r="F265" i="21" s="1"/>
  <c r="G265" i="21" s="1"/>
  <c r="H265" i="21" s="1"/>
  <c r="I265" i="21" s="1"/>
  <c r="J265" i="21" s="1"/>
  <c r="K265" i="21" s="1"/>
  <c r="L265" i="21" s="1"/>
  <c r="M265" i="21" s="1"/>
  <c r="J304" i="21" l="1"/>
  <c r="K304" i="21" s="1"/>
  <c r="L304" i="21" s="1"/>
  <c r="M304" i="21" s="1"/>
  <c r="C226" i="21" l="1"/>
  <c r="H218" i="21"/>
  <c r="H222" i="21"/>
  <c r="K253" i="21" l="1"/>
  <c r="E4" i="21"/>
  <c r="H219" i="21"/>
  <c r="D185" i="21"/>
  <c r="D161" i="21"/>
  <c r="D139" i="21"/>
  <c r="D123" i="21"/>
  <c r="Q583" i="21" l="1"/>
  <c r="Q579" i="21"/>
  <c r="T575" i="21"/>
  <c r="N575" i="21"/>
  <c r="B583" i="21"/>
  <c r="B579" i="21"/>
  <c r="B575" i="21"/>
  <c r="T567" i="21"/>
  <c r="N567" i="21"/>
  <c r="E571" i="21"/>
  <c r="H567" i="21"/>
  <c r="B567" i="21"/>
  <c r="Q563" i="21"/>
  <c r="K563" i="21"/>
  <c r="E563" i="21"/>
  <c r="D507" i="21" l="1"/>
  <c r="G251" i="21" l="1"/>
  <c r="E233" i="21" l="1"/>
  <c r="F233" i="21" s="1"/>
  <c r="G233" i="21" s="1"/>
  <c r="H233" i="21" s="1"/>
  <c r="D118" i="21" l="1"/>
  <c r="E118" i="21"/>
  <c r="E176" i="21" s="1"/>
  <c r="F118" i="21"/>
  <c r="F176" i="21" s="1"/>
  <c r="G118" i="21"/>
  <c r="G176" i="21" s="1"/>
  <c r="H118" i="21"/>
  <c r="H209" i="21" s="1"/>
  <c r="I118" i="21"/>
  <c r="I176" i="21" s="1"/>
  <c r="J118" i="21"/>
  <c r="J176" i="21" s="1"/>
  <c r="K118" i="21"/>
  <c r="K209" i="21" s="1"/>
  <c r="L118" i="21"/>
  <c r="L209" i="21" s="1"/>
  <c r="M118" i="21"/>
  <c r="M209" i="21" s="1"/>
  <c r="G112" i="21"/>
  <c r="D120" i="21"/>
  <c r="M117" i="21"/>
  <c r="M175" i="21" s="1"/>
  <c r="L117" i="21"/>
  <c r="L175" i="21" s="1"/>
  <c r="K117" i="21"/>
  <c r="K175" i="21" s="1"/>
  <c r="J117" i="21"/>
  <c r="J175" i="21" s="1"/>
  <c r="I117" i="21"/>
  <c r="I175" i="21" s="1"/>
  <c r="H117" i="21"/>
  <c r="H175" i="21" s="1"/>
  <c r="G117" i="21"/>
  <c r="G175" i="21" s="1"/>
  <c r="F117" i="21"/>
  <c r="F175" i="21" s="1"/>
  <c r="E117" i="21"/>
  <c r="E175" i="21" s="1"/>
  <c r="M116" i="21"/>
  <c r="M174" i="21" s="1"/>
  <c r="L116" i="21"/>
  <c r="L174" i="21" s="1"/>
  <c r="K116" i="21"/>
  <c r="K202" i="21" s="1"/>
  <c r="J116" i="21"/>
  <c r="J202" i="21" s="1"/>
  <c r="I116" i="21"/>
  <c r="I174" i="21" s="1"/>
  <c r="H116" i="21"/>
  <c r="H202" i="21" s="1"/>
  <c r="G116" i="21"/>
  <c r="G202" i="21" s="1"/>
  <c r="F116" i="21"/>
  <c r="F202" i="21" s="1"/>
  <c r="E116" i="21"/>
  <c r="E174" i="21" s="1"/>
  <c r="M115" i="21"/>
  <c r="L115" i="21"/>
  <c r="K115" i="21"/>
  <c r="J115" i="21"/>
  <c r="I115" i="21"/>
  <c r="H115" i="21"/>
  <c r="G115" i="21"/>
  <c r="F115" i="21"/>
  <c r="E115" i="21"/>
  <c r="M114" i="21"/>
  <c r="L114" i="21"/>
  <c r="K114" i="21"/>
  <c r="J114" i="21"/>
  <c r="I114" i="21"/>
  <c r="H114" i="21"/>
  <c r="G114" i="21"/>
  <c r="F114" i="21"/>
  <c r="E114" i="21"/>
  <c r="M113" i="21"/>
  <c r="L113" i="21"/>
  <c r="K113" i="21"/>
  <c r="J113" i="21"/>
  <c r="I113" i="21"/>
  <c r="H113" i="21"/>
  <c r="G113" i="21"/>
  <c r="F113" i="21"/>
  <c r="E113" i="21"/>
  <c r="M112" i="21"/>
  <c r="L112" i="21"/>
  <c r="K112" i="21"/>
  <c r="J112" i="21"/>
  <c r="I112" i="21"/>
  <c r="H112" i="21"/>
  <c r="F112" i="21"/>
  <c r="E112" i="21"/>
  <c r="M111" i="21"/>
  <c r="L111" i="21"/>
  <c r="K111" i="21"/>
  <c r="J111" i="21"/>
  <c r="I111" i="21"/>
  <c r="H111" i="21"/>
  <c r="G111" i="21"/>
  <c r="F111" i="21"/>
  <c r="E111" i="21"/>
  <c r="M110" i="21"/>
  <c r="L110" i="21"/>
  <c r="K110" i="21"/>
  <c r="J110" i="21"/>
  <c r="I110" i="21"/>
  <c r="H110" i="21"/>
  <c r="G110" i="21"/>
  <c r="F110" i="21"/>
  <c r="E110" i="21"/>
  <c r="M109" i="21"/>
  <c r="L109" i="21"/>
  <c r="K109" i="21"/>
  <c r="J109" i="21"/>
  <c r="I109" i="21"/>
  <c r="H109" i="21"/>
  <c r="G109" i="21"/>
  <c r="F109" i="21"/>
  <c r="E109" i="21"/>
  <c r="H108" i="21"/>
  <c r="G108" i="21"/>
  <c r="F108" i="21"/>
  <c r="E108" i="21"/>
  <c r="H107" i="21"/>
  <c r="G107" i="21"/>
  <c r="F107" i="21"/>
  <c r="E107" i="21"/>
  <c r="M106" i="21"/>
  <c r="L106" i="21"/>
  <c r="K106" i="21"/>
  <c r="J106" i="21"/>
  <c r="I106" i="21"/>
  <c r="H106" i="21"/>
  <c r="G106" i="21"/>
  <c r="F106" i="21"/>
  <c r="E106" i="21"/>
  <c r="H104" i="21"/>
  <c r="H126" i="21" s="1"/>
  <c r="G104" i="21"/>
  <c r="G126" i="21" s="1"/>
  <c r="F104" i="21"/>
  <c r="F126" i="21" s="1"/>
  <c r="E104" i="21"/>
  <c r="E126" i="21" s="1"/>
  <c r="M103" i="21"/>
  <c r="L103" i="21"/>
  <c r="K103" i="21"/>
  <c r="J103" i="21"/>
  <c r="I103" i="21"/>
  <c r="H103" i="21"/>
  <c r="G103" i="21"/>
  <c r="F103" i="21"/>
  <c r="E103" i="21"/>
  <c r="H101" i="21"/>
  <c r="G101" i="21"/>
  <c r="F101" i="21"/>
  <c r="F125" i="21" s="1"/>
  <c r="E101" i="21"/>
  <c r="M98" i="21"/>
  <c r="L98" i="21"/>
  <c r="K98" i="21"/>
  <c r="J98" i="21"/>
  <c r="I98" i="21"/>
  <c r="H98" i="21"/>
  <c r="M97" i="21"/>
  <c r="L97" i="21"/>
  <c r="K97" i="21"/>
  <c r="J97" i="21"/>
  <c r="I97" i="21"/>
  <c r="H97" i="21"/>
  <c r="G97" i="21"/>
  <c r="F97" i="21"/>
  <c r="E97" i="21"/>
  <c r="D117" i="21"/>
  <c r="D116" i="21"/>
  <c r="D202" i="21" s="1"/>
  <c r="D115" i="21"/>
  <c r="D114" i="21"/>
  <c r="D113" i="21"/>
  <c r="D112" i="21"/>
  <c r="D111" i="21"/>
  <c r="D110" i="21"/>
  <c r="D204" i="21" s="1"/>
  <c r="D131" i="21" s="1"/>
  <c r="D109" i="21"/>
  <c r="D108" i="21"/>
  <c r="D107" i="21"/>
  <c r="D106" i="21"/>
  <c r="D104" i="21"/>
  <c r="D126" i="21" s="1"/>
  <c r="D103" i="21"/>
  <c r="D102" i="21"/>
  <c r="D101" i="21"/>
  <c r="D97" i="21"/>
  <c r="J65" i="21"/>
  <c r="K65" i="21"/>
  <c r="L65" i="21"/>
  <c r="M65" i="21"/>
  <c r="J66" i="21"/>
  <c r="J71" i="21" s="1"/>
  <c r="K66" i="21"/>
  <c r="L66" i="21"/>
  <c r="M66" i="21"/>
  <c r="J67" i="21"/>
  <c r="K67" i="21"/>
  <c r="L67" i="21"/>
  <c r="M67" i="21"/>
  <c r="J68" i="21"/>
  <c r="J72" i="21" s="1"/>
  <c r="K68" i="21"/>
  <c r="L68" i="21"/>
  <c r="L72" i="21" s="1"/>
  <c r="M68" i="21"/>
  <c r="M72" i="21" s="1"/>
  <c r="I68" i="21"/>
  <c r="I72" i="21" s="1"/>
  <c r="I67" i="21"/>
  <c r="I66" i="21"/>
  <c r="I65" i="21"/>
  <c r="H77" i="21"/>
  <c r="G77" i="21"/>
  <c r="F77" i="21"/>
  <c r="E77" i="21"/>
  <c r="D77" i="21"/>
  <c r="H74" i="21"/>
  <c r="G74" i="21"/>
  <c r="F74" i="21"/>
  <c r="E74" i="21"/>
  <c r="J38" i="21"/>
  <c r="J43" i="21" s="1"/>
  <c r="K38" i="21"/>
  <c r="L38" i="21"/>
  <c r="M38" i="21"/>
  <c r="I38" i="21"/>
  <c r="J37" i="21"/>
  <c r="K37" i="21"/>
  <c r="L37" i="21"/>
  <c r="M37" i="21"/>
  <c r="I37" i="21"/>
  <c r="H49" i="21"/>
  <c r="G49" i="21"/>
  <c r="F49" i="21"/>
  <c r="E49" i="21"/>
  <c r="D49" i="21"/>
  <c r="H46" i="21"/>
  <c r="G46" i="21"/>
  <c r="F46" i="21"/>
  <c r="E46" i="21"/>
  <c r="E21" i="21"/>
  <c r="F21" i="21"/>
  <c r="G21" i="21"/>
  <c r="H21" i="21"/>
  <c r="D21" i="21"/>
  <c r="D105" i="21" s="1"/>
  <c r="F18" i="21"/>
  <c r="G18" i="21"/>
  <c r="G102" i="21" s="1"/>
  <c r="H18" i="21"/>
  <c r="E18" i="21"/>
  <c r="E102" i="21" s="1"/>
  <c r="G105" i="21" l="1"/>
  <c r="F102" i="21"/>
  <c r="H105" i="21"/>
  <c r="F105" i="21"/>
  <c r="E105" i="21"/>
  <c r="H102" i="21"/>
  <c r="F333" i="21"/>
  <c r="H129" i="21"/>
  <c r="E197" i="21"/>
  <c r="E130" i="21" s="1"/>
  <c r="D129" i="21"/>
  <c r="D149" i="21"/>
  <c r="D535" i="21" s="1"/>
  <c r="D420" i="21" s="1"/>
  <c r="G129" i="21"/>
  <c r="F197" i="21"/>
  <c r="F130" i="21" s="1"/>
  <c r="F165" i="21" s="1"/>
  <c r="K174" i="21"/>
  <c r="G197" i="21"/>
  <c r="G130" i="21" s="1"/>
  <c r="G165" i="21" s="1"/>
  <c r="F129" i="21"/>
  <c r="F517" i="21" s="1"/>
  <c r="H174" i="21"/>
  <c r="H197" i="21"/>
  <c r="H130" i="21" s="1"/>
  <c r="H165" i="21" s="1"/>
  <c r="F209" i="21"/>
  <c r="G174" i="21"/>
  <c r="G177" i="21" s="1"/>
  <c r="D144" i="21"/>
  <c r="D530" i="21" s="1"/>
  <c r="D415" i="21" s="1"/>
  <c r="L202" i="21"/>
  <c r="E153" i="21"/>
  <c r="F153" i="21" s="1"/>
  <c r="G153" i="21" s="1"/>
  <c r="H153" i="21" s="1"/>
  <c r="I153" i="21" s="1"/>
  <c r="J153" i="21" s="1"/>
  <c r="K153" i="21" s="1"/>
  <c r="L153" i="21" s="1"/>
  <c r="M153" i="21" s="1"/>
  <c r="I177" i="21"/>
  <c r="M202" i="21"/>
  <c r="E202" i="21"/>
  <c r="E209" i="21"/>
  <c r="H125" i="21"/>
  <c r="I209" i="21"/>
  <c r="G209" i="21"/>
  <c r="J174" i="21"/>
  <c r="J177" i="21" s="1"/>
  <c r="F174" i="21"/>
  <c r="F177" i="21" s="1"/>
  <c r="H176" i="21"/>
  <c r="I202" i="21"/>
  <c r="M176" i="21"/>
  <c r="M177" i="21" s="1"/>
  <c r="D143" i="21"/>
  <c r="G125" i="21"/>
  <c r="E125" i="21"/>
  <c r="E129" i="21"/>
  <c r="L176" i="21"/>
  <c r="L177" i="21" s="1"/>
  <c r="K176" i="21"/>
  <c r="J209" i="21"/>
  <c r="J76" i="21"/>
  <c r="D197" i="21"/>
  <c r="D130" i="21" s="1"/>
  <c r="D125" i="21"/>
  <c r="J73" i="21"/>
  <c r="J79" i="21" s="1"/>
  <c r="K71" i="21"/>
  <c r="K76" i="21"/>
  <c r="L71" i="21"/>
  <c r="L73" i="21" s="1"/>
  <c r="K72" i="21"/>
  <c r="L76" i="21"/>
  <c r="I71" i="21"/>
  <c r="I73" i="21" s="1"/>
  <c r="I74" i="21" s="1"/>
  <c r="M71" i="21"/>
  <c r="M73" i="21" s="1"/>
  <c r="M74" i="21" s="1"/>
  <c r="I76" i="21"/>
  <c r="M76" i="21"/>
  <c r="K43" i="21"/>
  <c r="L43" i="21"/>
  <c r="I43" i="21"/>
  <c r="M43" i="21"/>
  <c r="D198" i="21"/>
  <c r="D423" i="21" s="1"/>
  <c r="J12" i="21"/>
  <c r="K12" i="21"/>
  <c r="L12" i="21"/>
  <c r="M12" i="21"/>
  <c r="I12" i="21"/>
  <c r="J10" i="21"/>
  <c r="K10" i="21"/>
  <c r="K94" i="21" s="1"/>
  <c r="L10" i="21"/>
  <c r="M10" i="21"/>
  <c r="M94" i="21" s="1"/>
  <c r="I10" i="21"/>
  <c r="I94" i="21" s="1"/>
  <c r="J11" i="21"/>
  <c r="J95" i="21" s="1"/>
  <c r="K11" i="21"/>
  <c r="K95" i="21" s="1"/>
  <c r="L11" i="21"/>
  <c r="L95" i="21" s="1"/>
  <c r="M11" i="21"/>
  <c r="M95" i="21" s="1"/>
  <c r="H93" i="26"/>
  <c r="G93" i="26"/>
  <c r="H94" i="26" s="1"/>
  <c r="F93" i="26"/>
  <c r="E93" i="26"/>
  <c r="E94" i="26" s="1"/>
  <c r="D93" i="26"/>
  <c r="H91" i="26"/>
  <c r="H92" i="26" s="1"/>
  <c r="G91" i="26"/>
  <c r="F91" i="26"/>
  <c r="E91" i="26"/>
  <c r="D91" i="26"/>
  <c r="E92" i="26" s="1"/>
  <c r="H61" i="26"/>
  <c r="H62" i="26" s="1"/>
  <c r="G61" i="26"/>
  <c r="F61" i="26"/>
  <c r="E61" i="26"/>
  <c r="D61" i="26"/>
  <c r="H59" i="26"/>
  <c r="G59" i="26"/>
  <c r="F59" i="26"/>
  <c r="F60" i="26" s="1"/>
  <c r="E59" i="26"/>
  <c r="D59" i="26"/>
  <c r="E27" i="26"/>
  <c r="F27" i="26"/>
  <c r="G27" i="26"/>
  <c r="H27" i="26"/>
  <c r="E29" i="26"/>
  <c r="F29" i="26"/>
  <c r="F30" i="26" s="1"/>
  <c r="G29" i="26"/>
  <c r="H29" i="26"/>
  <c r="D29" i="26"/>
  <c r="J9" i="21"/>
  <c r="J93" i="21" s="1"/>
  <c r="K9" i="21"/>
  <c r="K93" i="21" s="1"/>
  <c r="L9" i="21"/>
  <c r="L93" i="21" s="1"/>
  <c r="M9" i="21"/>
  <c r="M93" i="21" s="1"/>
  <c r="I9" i="21"/>
  <c r="I93" i="21" s="1"/>
  <c r="H90" i="26"/>
  <c r="G90" i="26"/>
  <c r="F90" i="26"/>
  <c r="E90" i="26"/>
  <c r="I89" i="26"/>
  <c r="J89" i="26" s="1"/>
  <c r="K89" i="26" s="1"/>
  <c r="L89" i="26" s="1"/>
  <c r="M89" i="26" s="1"/>
  <c r="H87" i="26"/>
  <c r="G87" i="26"/>
  <c r="G88" i="26" s="1"/>
  <c r="F87" i="26"/>
  <c r="E87" i="26"/>
  <c r="E88" i="26" s="1"/>
  <c r="D87" i="26"/>
  <c r="H86" i="26"/>
  <c r="G86" i="26"/>
  <c r="F86" i="26"/>
  <c r="E86" i="26"/>
  <c r="H84" i="26"/>
  <c r="G84" i="26"/>
  <c r="F84" i="26"/>
  <c r="E84" i="26"/>
  <c r="I83" i="26"/>
  <c r="J83" i="26" s="1"/>
  <c r="K83" i="26" s="1"/>
  <c r="L83" i="26" s="1"/>
  <c r="M83" i="26" s="1"/>
  <c r="H82" i="26"/>
  <c r="G82" i="26"/>
  <c r="F82" i="26"/>
  <c r="E82" i="26"/>
  <c r="I81" i="26"/>
  <c r="J81" i="26" s="1"/>
  <c r="K81" i="26" s="1"/>
  <c r="L81" i="26" s="1"/>
  <c r="M81" i="26" s="1"/>
  <c r="H80" i="26"/>
  <c r="G80" i="26"/>
  <c r="F80" i="26"/>
  <c r="E80" i="26"/>
  <c r="J79" i="26"/>
  <c r="J91" i="26" s="1"/>
  <c r="I79" i="26"/>
  <c r="I93" i="26" s="1"/>
  <c r="I94" i="26" s="1"/>
  <c r="H58" i="26"/>
  <c r="G58" i="26"/>
  <c r="F58" i="26"/>
  <c r="E58" i="26"/>
  <c r="I57" i="26"/>
  <c r="J57" i="26" s="1"/>
  <c r="K57" i="26" s="1"/>
  <c r="L57" i="26" s="1"/>
  <c r="M57" i="26" s="1"/>
  <c r="H55" i="26"/>
  <c r="G55" i="26"/>
  <c r="G56" i="26" s="1"/>
  <c r="F55" i="26"/>
  <c r="E55" i="26"/>
  <c r="E56" i="26" s="1"/>
  <c r="D55" i="26"/>
  <c r="H54" i="26"/>
  <c r="G54" i="26"/>
  <c r="F54" i="26"/>
  <c r="E54" i="26"/>
  <c r="H52" i="26"/>
  <c r="G52" i="26"/>
  <c r="F52" i="26"/>
  <c r="E52" i="26"/>
  <c r="I51" i="26"/>
  <c r="J51" i="26" s="1"/>
  <c r="K51" i="26" s="1"/>
  <c r="L51" i="26" s="1"/>
  <c r="M51" i="26" s="1"/>
  <c r="H50" i="26"/>
  <c r="G50" i="26"/>
  <c r="F50" i="26"/>
  <c r="E50" i="26"/>
  <c r="I49" i="26"/>
  <c r="J49" i="26" s="1"/>
  <c r="K49" i="26" s="1"/>
  <c r="L49" i="26" s="1"/>
  <c r="M49" i="26" s="1"/>
  <c r="H48" i="26"/>
  <c r="G48" i="26"/>
  <c r="F48" i="26"/>
  <c r="E48" i="26"/>
  <c r="I47" i="26"/>
  <c r="I61" i="26" s="1"/>
  <c r="D2" i="26"/>
  <c r="K177" i="21" l="1"/>
  <c r="D534" i="21"/>
  <c r="D419" i="21" s="1"/>
  <c r="E333" i="21"/>
  <c r="F338" i="21" s="1"/>
  <c r="D523" i="21"/>
  <c r="D388" i="21" s="1"/>
  <c r="D522" i="21"/>
  <c r="D387" i="21" s="1"/>
  <c r="D533" i="21"/>
  <c r="D418" i="21" s="1"/>
  <c r="H333" i="21"/>
  <c r="D333" i="21"/>
  <c r="D538" i="21"/>
  <c r="D532" i="21"/>
  <c r="D417" i="21" s="1"/>
  <c r="D537" i="21"/>
  <c r="D536" i="21"/>
  <c r="G333" i="21"/>
  <c r="G338" i="21" s="1"/>
  <c r="D519" i="21"/>
  <c r="D518" i="21"/>
  <c r="F196" i="21"/>
  <c r="F170" i="21" s="1"/>
  <c r="F518" i="21"/>
  <c r="E196" i="21"/>
  <c r="E170" i="21" s="1"/>
  <c r="E518" i="21"/>
  <c r="G518" i="21"/>
  <c r="H196" i="21"/>
  <c r="H170" i="21" s="1"/>
  <c r="H518" i="21"/>
  <c r="E517" i="21"/>
  <c r="G517" i="21"/>
  <c r="H517" i="21"/>
  <c r="D517" i="21"/>
  <c r="I62" i="26"/>
  <c r="I39" i="21" s="1"/>
  <c r="I40" i="21"/>
  <c r="H177" i="21"/>
  <c r="G196" i="21"/>
  <c r="G170" i="21" s="1"/>
  <c r="L77" i="21"/>
  <c r="L16" i="21"/>
  <c r="L96" i="21"/>
  <c r="K16" i="21"/>
  <c r="K96" i="21"/>
  <c r="K197" i="21" s="1"/>
  <c r="I16" i="21"/>
  <c r="I96" i="21"/>
  <c r="I197" i="21" s="1"/>
  <c r="J16" i="21"/>
  <c r="J96" i="21"/>
  <c r="J15" i="21"/>
  <c r="J99" i="21" s="1"/>
  <c r="J94" i="21"/>
  <c r="L15" i="21"/>
  <c r="L99" i="21" s="1"/>
  <c r="L94" i="21"/>
  <c r="M16" i="21"/>
  <c r="M96" i="21"/>
  <c r="M197" i="21" s="1"/>
  <c r="J77" i="21"/>
  <c r="I80" i="21"/>
  <c r="K73" i="21"/>
  <c r="L74" i="21" s="1"/>
  <c r="M80" i="21"/>
  <c r="M77" i="21"/>
  <c r="M79" i="21"/>
  <c r="J74" i="21"/>
  <c r="J80" i="21"/>
  <c r="I77" i="21"/>
  <c r="I79" i="21"/>
  <c r="L79" i="21"/>
  <c r="L80" i="21"/>
  <c r="K15" i="21"/>
  <c r="K99" i="21" s="1"/>
  <c r="I15" i="21"/>
  <c r="I99" i="21" s="1"/>
  <c r="M15" i="21"/>
  <c r="M20" i="21"/>
  <c r="K20" i="21"/>
  <c r="L20" i="21"/>
  <c r="I20" i="21"/>
  <c r="J20" i="21"/>
  <c r="J93" i="26"/>
  <c r="E30" i="26"/>
  <c r="F62" i="26"/>
  <c r="I91" i="26"/>
  <c r="H30" i="26"/>
  <c r="H60" i="26"/>
  <c r="G92" i="26"/>
  <c r="G30" i="26"/>
  <c r="I92" i="26"/>
  <c r="F94" i="26"/>
  <c r="J94" i="26"/>
  <c r="F92" i="26"/>
  <c r="J92" i="26"/>
  <c r="G94" i="26"/>
  <c r="F56" i="26"/>
  <c r="H88" i="26"/>
  <c r="E60" i="26"/>
  <c r="I59" i="26"/>
  <c r="I60" i="26" s="1"/>
  <c r="G62" i="26"/>
  <c r="H56" i="26"/>
  <c r="F88" i="26"/>
  <c r="G60" i="26"/>
  <c r="E62" i="26"/>
  <c r="I96" i="26"/>
  <c r="K79" i="26"/>
  <c r="J47" i="26"/>
  <c r="K47" i="26" s="1"/>
  <c r="I25" i="26"/>
  <c r="J25" i="26" s="1"/>
  <c r="K25" i="26" s="1"/>
  <c r="L25" i="26" s="1"/>
  <c r="M25" i="26" s="1"/>
  <c r="I19" i="26"/>
  <c r="J19" i="26" s="1"/>
  <c r="K19" i="26" s="1"/>
  <c r="L19" i="26" s="1"/>
  <c r="M19" i="26" s="1"/>
  <c r="I17" i="26"/>
  <c r="I15" i="26"/>
  <c r="H26" i="26"/>
  <c r="G26" i="26"/>
  <c r="F26" i="26"/>
  <c r="E26" i="26"/>
  <c r="H22" i="26"/>
  <c r="G22" i="26"/>
  <c r="F22" i="26"/>
  <c r="E22" i="26"/>
  <c r="H20" i="26"/>
  <c r="G20" i="26"/>
  <c r="F20" i="26"/>
  <c r="E20" i="26"/>
  <c r="H18" i="26"/>
  <c r="G18" i="26"/>
  <c r="F18" i="26"/>
  <c r="E18" i="26"/>
  <c r="F16" i="26"/>
  <c r="G16" i="26"/>
  <c r="H16" i="26"/>
  <c r="E16" i="26"/>
  <c r="E23" i="26"/>
  <c r="F23" i="26"/>
  <c r="G23" i="26"/>
  <c r="H23" i="26"/>
  <c r="D23" i="26"/>
  <c r="F28" i="26"/>
  <c r="G28" i="26"/>
  <c r="H28" i="26"/>
  <c r="D27" i="26"/>
  <c r="E28" i="26" s="1"/>
  <c r="D181" i="21"/>
  <c r="E180" i="21"/>
  <c r="D190" i="21"/>
  <c r="D189" i="21"/>
  <c r="D531" i="21" s="1"/>
  <c r="D416" i="21" s="1"/>
  <c r="D188" i="21"/>
  <c r="E165" i="21"/>
  <c r="D210" i="21"/>
  <c r="E207" i="21" s="1"/>
  <c r="D196" i="21"/>
  <c r="D195" i="21" s="1"/>
  <c r="E195" i="21"/>
  <c r="D421" i="21" l="1"/>
  <c r="D391" i="21"/>
  <c r="J197" i="21"/>
  <c r="L197" i="21"/>
  <c r="T569" i="21"/>
  <c r="D422" i="21"/>
  <c r="E338" i="21"/>
  <c r="H338" i="21"/>
  <c r="I44" i="21"/>
  <c r="I45" i="21" s="1"/>
  <c r="I46" i="21" s="1"/>
  <c r="I48" i="21"/>
  <c r="I104" i="21" s="1"/>
  <c r="I126" i="21" s="1"/>
  <c r="I64" i="26"/>
  <c r="I17" i="21"/>
  <c r="I18" i="21" s="1"/>
  <c r="J17" i="21"/>
  <c r="J23" i="21" s="1"/>
  <c r="K17" i="21"/>
  <c r="K23" i="21" s="1"/>
  <c r="L17" i="21"/>
  <c r="L23" i="21" s="1"/>
  <c r="M17" i="21"/>
  <c r="M24" i="21" s="1"/>
  <c r="M99" i="21"/>
  <c r="K74" i="21"/>
  <c r="K79" i="21"/>
  <c r="K80" i="21"/>
  <c r="K77" i="21"/>
  <c r="K91" i="26"/>
  <c r="K92" i="26" s="1"/>
  <c r="K93" i="26"/>
  <c r="E24" i="26"/>
  <c r="K59" i="26"/>
  <c r="K61" i="26"/>
  <c r="K40" i="21" s="1"/>
  <c r="H24" i="26"/>
  <c r="J15" i="26"/>
  <c r="I27" i="26"/>
  <c r="I29" i="26"/>
  <c r="I30" i="26" s="1"/>
  <c r="I11" i="21" s="1"/>
  <c r="I95" i="21" s="1"/>
  <c r="G24" i="26"/>
  <c r="J17" i="26"/>
  <c r="F24" i="26"/>
  <c r="J59" i="26"/>
  <c r="J60" i="26" s="1"/>
  <c r="J61" i="26"/>
  <c r="J96" i="26"/>
  <c r="L79" i="26"/>
  <c r="L47" i="26"/>
  <c r="E2" i="21"/>
  <c r="D155" i="21"/>
  <c r="D450" i="21" s="1"/>
  <c r="D146" i="21"/>
  <c r="H171" i="21"/>
  <c r="D127" i="21"/>
  <c r="E127" i="21"/>
  <c r="E510" i="21" s="1"/>
  <c r="F127" i="21"/>
  <c r="F510" i="21" s="1"/>
  <c r="G127" i="21"/>
  <c r="G510" i="21" s="1"/>
  <c r="H127" i="21"/>
  <c r="H510" i="21" s="1"/>
  <c r="E171" i="21"/>
  <c r="F171" i="21"/>
  <c r="G171" i="21"/>
  <c r="D191" i="21"/>
  <c r="D424" i="21" s="1"/>
  <c r="E198" i="21"/>
  <c r="E423" i="21" s="1"/>
  <c r="D203" i="21"/>
  <c r="C232" i="21"/>
  <c r="C246" i="21"/>
  <c r="I100" i="21" l="1"/>
  <c r="E232" i="21"/>
  <c r="F232" i="21"/>
  <c r="E185" i="21"/>
  <c r="E139" i="21"/>
  <c r="E123" i="21"/>
  <c r="E161" i="21"/>
  <c r="D150" i="21"/>
  <c r="D542" i="21" s="1"/>
  <c r="D452" i="21" s="1"/>
  <c r="D449" i="21"/>
  <c r="D545" i="21"/>
  <c r="D455" i="21" s="1"/>
  <c r="D524" i="21"/>
  <c r="D389" i="21" s="1"/>
  <c r="D525" i="21"/>
  <c r="D390" i="21" s="1"/>
  <c r="H335" i="21"/>
  <c r="H334" i="21"/>
  <c r="E120" i="21"/>
  <c r="E149" i="21" s="1"/>
  <c r="E507" i="21"/>
  <c r="E335" i="21"/>
  <c r="E334" i="21"/>
  <c r="G334" i="21"/>
  <c r="G335" i="21"/>
  <c r="F334" i="21"/>
  <c r="D510" i="21"/>
  <c r="D335" i="21" s="1"/>
  <c r="D334" i="21"/>
  <c r="I51" i="21"/>
  <c r="I101" i="21"/>
  <c r="I125" i="21" s="1"/>
  <c r="I52" i="21"/>
  <c r="D232" i="21"/>
  <c r="D234" i="21" s="1"/>
  <c r="G232" i="21"/>
  <c r="H232" i="21"/>
  <c r="I232" i="21" s="1"/>
  <c r="D231" i="21"/>
  <c r="J21" i="21"/>
  <c r="J64" i="26"/>
  <c r="J62" i="26"/>
  <c r="J39" i="21" s="1"/>
  <c r="J40" i="21"/>
  <c r="K48" i="21"/>
  <c r="K104" i="21" s="1"/>
  <c r="K126" i="21" s="1"/>
  <c r="K44" i="21"/>
  <c r="I49" i="21"/>
  <c r="K60" i="26"/>
  <c r="I23" i="21"/>
  <c r="J24" i="21"/>
  <c r="L24" i="21"/>
  <c r="I24" i="21"/>
  <c r="I21" i="21"/>
  <c r="J18" i="21"/>
  <c r="K21" i="21"/>
  <c r="L18" i="21"/>
  <c r="K24" i="21"/>
  <c r="K18" i="21"/>
  <c r="M18" i="21"/>
  <c r="L21" i="21"/>
  <c r="M23" i="21"/>
  <c r="M21" i="21"/>
  <c r="F2" i="21"/>
  <c r="E2" i="26"/>
  <c r="L94" i="26"/>
  <c r="K94" i="26"/>
  <c r="L93" i="26"/>
  <c r="L91" i="26"/>
  <c r="L92" i="26" s="1"/>
  <c r="K17" i="26"/>
  <c r="K15" i="26"/>
  <c r="J29" i="26"/>
  <c r="J30" i="26" s="1"/>
  <c r="J27" i="26"/>
  <c r="J28" i="26" s="1"/>
  <c r="L61" i="26"/>
  <c r="L59" i="26"/>
  <c r="L60" i="26" s="1"/>
  <c r="K62" i="26"/>
  <c r="K39" i="21" s="1"/>
  <c r="M79" i="26"/>
  <c r="K96" i="26"/>
  <c r="M47" i="26"/>
  <c r="K64" i="26"/>
  <c r="I28" i="26"/>
  <c r="I32" i="26"/>
  <c r="J32" i="26"/>
  <c r="D132" i="21"/>
  <c r="D133" i="21" s="1"/>
  <c r="D342" i="21" s="1"/>
  <c r="E201" i="21"/>
  <c r="F195" i="21"/>
  <c r="F198" i="21" s="1"/>
  <c r="E145" i="21"/>
  <c r="E536" i="21" s="1"/>
  <c r="K45" i="21" l="1"/>
  <c r="K51" i="21" s="1"/>
  <c r="K107" i="21" s="1"/>
  <c r="K100" i="21"/>
  <c r="E421" i="21"/>
  <c r="E391" i="21"/>
  <c r="D457" i="21"/>
  <c r="D341" i="21"/>
  <c r="D151" i="21"/>
  <c r="D544" i="21" s="1"/>
  <c r="D454" i="21" s="1"/>
  <c r="E231" i="21"/>
  <c r="F231" i="21" s="1"/>
  <c r="G231" i="21" s="1"/>
  <c r="H231" i="21" s="1"/>
  <c r="F185" i="21"/>
  <c r="F123" i="21"/>
  <c r="F161" i="21"/>
  <c r="F139" i="21"/>
  <c r="D543" i="21"/>
  <c r="D453" i="21" s="1"/>
  <c r="D541" i="21"/>
  <c r="D451" i="21" s="1"/>
  <c r="F145" i="21"/>
  <c r="F536" i="21" s="1"/>
  <c r="F423" i="21"/>
  <c r="F339" i="21"/>
  <c r="F335" i="21"/>
  <c r="E144" i="21"/>
  <c r="E530" i="21" s="1"/>
  <c r="E415" i="21" s="1"/>
  <c r="E143" i="21"/>
  <c r="E532" i="21" s="1"/>
  <c r="E417" i="21" s="1"/>
  <c r="E190" i="21"/>
  <c r="E535" i="21"/>
  <c r="E420" i="21" s="1"/>
  <c r="E534" i="21"/>
  <c r="E419" i="21" s="1"/>
  <c r="D515" i="21"/>
  <c r="D547" i="21"/>
  <c r="D458" i="21" s="1"/>
  <c r="I333" i="21"/>
  <c r="I338" i="21" s="1"/>
  <c r="D546" i="21"/>
  <c r="D456" i="21" s="1"/>
  <c r="E339" i="21"/>
  <c r="G339" i="21"/>
  <c r="H339" i="21"/>
  <c r="F120" i="21"/>
  <c r="F149" i="21" s="1"/>
  <c r="F507" i="21"/>
  <c r="D135" i="21"/>
  <c r="D514" i="21" s="1"/>
  <c r="D511" i="21"/>
  <c r="E204" i="21"/>
  <c r="E131" i="21" s="1"/>
  <c r="E519" i="21" s="1"/>
  <c r="I107" i="21"/>
  <c r="I129" i="21" s="1"/>
  <c r="I517" i="21" s="1"/>
  <c r="H234" i="21"/>
  <c r="F234" i="21"/>
  <c r="E234" i="21"/>
  <c r="G234" i="21"/>
  <c r="I108" i="21"/>
  <c r="I130" i="21" s="1"/>
  <c r="I165" i="21" s="1"/>
  <c r="D240" i="21" s="1"/>
  <c r="L62" i="26"/>
  <c r="L39" i="21" s="1"/>
  <c r="L40" i="21"/>
  <c r="J44" i="21"/>
  <c r="J48" i="21"/>
  <c r="J104" i="21" s="1"/>
  <c r="J126" i="21" s="1"/>
  <c r="I105" i="21"/>
  <c r="I127" i="21"/>
  <c r="I510" i="21" s="1"/>
  <c r="I102" i="21"/>
  <c r="M130" i="21"/>
  <c r="M165" i="21" s="1"/>
  <c r="H240" i="21" s="1"/>
  <c r="G2" i="21"/>
  <c r="F2" i="26"/>
  <c r="M93" i="26"/>
  <c r="M94" i="26" s="1"/>
  <c r="M91" i="26"/>
  <c r="M92" i="26" s="1"/>
  <c r="M61" i="26"/>
  <c r="M59" i="26"/>
  <c r="M60" i="26" s="1"/>
  <c r="L17" i="26"/>
  <c r="L15" i="26"/>
  <c r="K29" i="26"/>
  <c r="K30" i="26" s="1"/>
  <c r="K27" i="26"/>
  <c r="L96" i="26"/>
  <c r="L64" i="26"/>
  <c r="G195" i="21"/>
  <c r="G198" i="21" s="1"/>
  <c r="E203" i="21"/>
  <c r="E449" i="21" s="1"/>
  <c r="K49" i="21" l="1"/>
  <c r="K105" i="21" s="1"/>
  <c r="J45" i="21"/>
  <c r="J100" i="21"/>
  <c r="K52" i="21"/>
  <c r="K108" i="21" s="1"/>
  <c r="K130" i="21" s="1"/>
  <c r="K165" i="21" s="1"/>
  <c r="F240" i="21" s="1"/>
  <c r="K101" i="21"/>
  <c r="F421" i="21"/>
  <c r="F391" i="21"/>
  <c r="E188" i="21"/>
  <c r="D156" i="21"/>
  <c r="D158" i="21" s="1"/>
  <c r="D3" i="21" s="1"/>
  <c r="G161" i="21"/>
  <c r="G123" i="21"/>
  <c r="G185" i="21"/>
  <c r="G139" i="21"/>
  <c r="G145" i="21"/>
  <c r="G536" i="21" s="1"/>
  <c r="G423" i="21"/>
  <c r="E533" i="21"/>
  <c r="E418" i="21" s="1"/>
  <c r="E189" i="21"/>
  <c r="E531" i="21" s="1"/>
  <c r="E416" i="21" s="1"/>
  <c r="E537" i="21"/>
  <c r="D136" i="21"/>
  <c r="D336" i="21" s="1"/>
  <c r="F190" i="21"/>
  <c r="F535" i="21"/>
  <c r="F420" i="21" s="1"/>
  <c r="F534" i="21"/>
  <c r="F419" i="21" s="1"/>
  <c r="I518" i="21"/>
  <c r="B581" i="21" s="1"/>
  <c r="G120" i="21"/>
  <c r="G143" i="21" s="1"/>
  <c r="G507" i="21"/>
  <c r="F144" i="21"/>
  <c r="F143" i="21"/>
  <c r="I334" i="21"/>
  <c r="K46" i="21"/>
  <c r="K102" i="21" s="1"/>
  <c r="J49" i="21"/>
  <c r="J105" i="21" s="1"/>
  <c r="L44" i="21"/>
  <c r="L48" i="21"/>
  <c r="L104" i="21" s="1"/>
  <c r="L126" i="21" s="1"/>
  <c r="M64" i="26"/>
  <c r="M62" i="26"/>
  <c r="M39" i="21" s="1"/>
  <c r="M40" i="21"/>
  <c r="J51" i="21"/>
  <c r="J107" i="21" s="1"/>
  <c r="J46" i="21"/>
  <c r="J102" i="21" s="1"/>
  <c r="F201" i="21"/>
  <c r="E150" i="21"/>
  <c r="H2" i="21"/>
  <c r="G2" i="26"/>
  <c r="M96" i="26"/>
  <c r="M15" i="26"/>
  <c r="L27" i="26"/>
  <c r="L29" i="26"/>
  <c r="L30" i="26" s="1"/>
  <c r="K32" i="26"/>
  <c r="K28" i="26"/>
  <c r="M17" i="26"/>
  <c r="E132" i="21"/>
  <c r="E133" i="21" s="1"/>
  <c r="E511" i="21" s="1"/>
  <c r="H195" i="21"/>
  <c r="H198" i="21" s="1"/>
  <c r="K125" i="21" l="1"/>
  <c r="K129" i="21"/>
  <c r="L45" i="21"/>
  <c r="L101" i="21" s="1"/>
  <c r="L100" i="21"/>
  <c r="J52" i="21"/>
  <c r="J108" i="21" s="1"/>
  <c r="J130" i="21" s="1"/>
  <c r="J101" i="21"/>
  <c r="G421" i="21"/>
  <c r="G391" i="21"/>
  <c r="E341" i="21"/>
  <c r="E343" i="21" s="1"/>
  <c r="E342" i="21"/>
  <c r="E344" i="21" s="1"/>
  <c r="H161" i="21"/>
  <c r="H185" i="21"/>
  <c r="H139" i="21"/>
  <c r="H123" i="21"/>
  <c r="H145" i="21"/>
  <c r="H536" i="21" s="1"/>
  <c r="H423" i="21"/>
  <c r="D552" i="21"/>
  <c r="D462" i="21" s="1"/>
  <c r="D460" i="21"/>
  <c r="E547" i="21"/>
  <c r="E458" i="21" s="1"/>
  <c r="E457" i="21"/>
  <c r="U569" i="21"/>
  <c r="E422" i="21"/>
  <c r="E191" i="21"/>
  <c r="B577" i="21"/>
  <c r="I335" i="21"/>
  <c r="D551" i="21"/>
  <c r="D461" i="21" s="1"/>
  <c r="D512" i="21"/>
  <c r="D337" i="21" s="1"/>
  <c r="E151" i="21"/>
  <c r="E546" i="21"/>
  <c r="E456" i="21" s="1"/>
  <c r="I339" i="21"/>
  <c r="F189" i="21"/>
  <c r="F531" i="21" s="1"/>
  <c r="F416" i="21" s="1"/>
  <c r="F530" i="21"/>
  <c r="F415" i="21" s="1"/>
  <c r="G188" i="21"/>
  <c r="G533" i="21"/>
  <c r="G418" i="21" s="1"/>
  <c r="G532" i="21"/>
  <c r="G417" i="21" s="1"/>
  <c r="F188" i="21"/>
  <c r="F533" i="21"/>
  <c r="F418" i="21" s="1"/>
  <c r="F537" i="21"/>
  <c r="F532" i="21"/>
  <c r="F417" i="21" s="1"/>
  <c r="G144" i="21"/>
  <c r="G149" i="21"/>
  <c r="H120" i="21"/>
  <c r="H149" i="21" s="1"/>
  <c r="H507" i="21"/>
  <c r="E515" i="21"/>
  <c r="F204" i="21"/>
  <c r="F131" i="21" s="1"/>
  <c r="M44" i="21"/>
  <c r="M48" i="21"/>
  <c r="M104" i="21" s="1"/>
  <c r="M126" i="21" s="1"/>
  <c r="F203" i="21"/>
  <c r="E135" i="21"/>
  <c r="I2" i="21"/>
  <c r="H2" i="26"/>
  <c r="L32" i="26"/>
  <c r="L28" i="26"/>
  <c r="M27" i="26"/>
  <c r="M29" i="26"/>
  <c r="M30" i="26" s="1"/>
  <c r="I195" i="21"/>
  <c r="L51" i="21" l="1"/>
  <c r="L107" i="21" s="1"/>
  <c r="L129" i="21" s="1"/>
  <c r="L49" i="21"/>
  <c r="L105" i="21" s="1"/>
  <c r="L46" i="21"/>
  <c r="L102" i="21" s="1"/>
  <c r="K517" i="21"/>
  <c r="L52" i="21"/>
  <c r="L108" i="21" s="1"/>
  <c r="L130" i="21" s="1"/>
  <c r="L165" i="21" s="1"/>
  <c r="G240" i="21" s="1"/>
  <c r="M45" i="21"/>
  <c r="M49" i="21" s="1"/>
  <c r="M105" i="21" s="1"/>
  <c r="M100" i="21"/>
  <c r="J125" i="21"/>
  <c r="J518" i="21" s="1"/>
  <c r="C581" i="21" s="1"/>
  <c r="J129" i="21"/>
  <c r="J165" i="21"/>
  <c r="E240" i="21" s="1"/>
  <c r="K333" i="21"/>
  <c r="K127" i="21"/>
  <c r="K518" i="21"/>
  <c r="D581" i="21" s="1"/>
  <c r="L125" i="21"/>
  <c r="H421" i="21"/>
  <c r="H391" i="21"/>
  <c r="I185" i="21"/>
  <c r="I139" i="21"/>
  <c r="I161" i="21"/>
  <c r="I123" i="21"/>
  <c r="E192" i="21"/>
  <c r="E166" i="21" s="1"/>
  <c r="E424" i="21"/>
  <c r="F150" i="21"/>
  <c r="F151" i="21" s="1"/>
  <c r="F449" i="21"/>
  <c r="V569" i="21"/>
  <c r="F422" i="21"/>
  <c r="K559" i="21"/>
  <c r="K564" i="21" s="1"/>
  <c r="Q564" i="21" s="1"/>
  <c r="F191" i="21"/>
  <c r="F132" i="21"/>
  <c r="F133" i="21" s="1"/>
  <c r="F511" i="21" s="1"/>
  <c r="F519" i="21"/>
  <c r="G189" i="21"/>
  <c r="G531" i="21" s="1"/>
  <c r="G416" i="21" s="1"/>
  <c r="G530" i="21"/>
  <c r="G415" i="21" s="1"/>
  <c r="H190" i="21"/>
  <c r="H535" i="21"/>
  <c r="H420" i="21" s="1"/>
  <c r="H534" i="21"/>
  <c r="H419" i="21" s="1"/>
  <c r="G190" i="21"/>
  <c r="G535" i="21"/>
  <c r="G420" i="21" s="1"/>
  <c r="G534" i="21"/>
  <c r="G419" i="21" s="1"/>
  <c r="G537" i="21"/>
  <c r="H143" i="21"/>
  <c r="E136" i="21"/>
  <c r="E514" i="21"/>
  <c r="H144" i="21"/>
  <c r="I120" i="21"/>
  <c r="I149" i="21" s="1"/>
  <c r="I507" i="21"/>
  <c r="M51" i="21"/>
  <c r="M107" i="21" s="1"/>
  <c r="G201" i="21"/>
  <c r="I2" i="26"/>
  <c r="J2" i="21"/>
  <c r="M32" i="26"/>
  <c r="M28" i="26"/>
  <c r="I196" i="21"/>
  <c r="I170" i="21" s="1"/>
  <c r="D242" i="21" s="1"/>
  <c r="J517" i="21" l="1"/>
  <c r="M46" i="21"/>
  <c r="M102" i="21" s="1"/>
  <c r="L518" i="21"/>
  <c r="E581" i="21" s="1"/>
  <c r="L517" i="21"/>
  <c r="K510" i="21"/>
  <c r="K334" i="21"/>
  <c r="J127" i="21"/>
  <c r="J333" i="21"/>
  <c r="J338" i="21" s="1"/>
  <c r="L333" i="21"/>
  <c r="L338" i="21" s="1"/>
  <c r="L127" i="21"/>
  <c r="M52" i="21"/>
  <c r="M108" i="21" s="1"/>
  <c r="M101" i="21"/>
  <c r="M125" i="21" s="1"/>
  <c r="E512" i="21"/>
  <c r="E340" i="21" s="1"/>
  <c r="E336" i="21"/>
  <c r="E564" i="21"/>
  <c r="H576" i="21" s="1"/>
  <c r="F341" i="21"/>
  <c r="F343" i="21" s="1"/>
  <c r="F342" i="21"/>
  <c r="F344" i="21" s="1"/>
  <c r="J139" i="21"/>
  <c r="J123" i="21"/>
  <c r="J161" i="21"/>
  <c r="J185" i="21"/>
  <c r="B584" i="21"/>
  <c r="F192" i="21"/>
  <c r="F166" i="21" s="1"/>
  <c r="F424" i="21"/>
  <c r="E164" i="21"/>
  <c r="E167" i="21" s="1"/>
  <c r="E460" i="21"/>
  <c r="F547" i="21"/>
  <c r="F458" i="21" s="1"/>
  <c r="F457" i="21"/>
  <c r="B588" i="21"/>
  <c r="B568" i="21"/>
  <c r="H588" i="21"/>
  <c r="E593" i="21"/>
  <c r="N593" i="21" s="1"/>
  <c r="W569" i="21"/>
  <c r="G422" i="21"/>
  <c r="E572" i="21"/>
  <c r="G191" i="21"/>
  <c r="L559" i="21"/>
  <c r="F564" i="21" s="1"/>
  <c r="T568" i="21"/>
  <c r="N568" i="21"/>
  <c r="T576" i="21"/>
  <c r="Q580" i="21" s="1"/>
  <c r="F135" i="21"/>
  <c r="F514" i="21" s="1"/>
  <c r="F515" i="21"/>
  <c r="E548" i="21"/>
  <c r="E459" i="21" s="1"/>
  <c r="F546" i="21"/>
  <c r="F456" i="21" s="1"/>
  <c r="H188" i="21"/>
  <c r="H533" i="21"/>
  <c r="H418" i="21" s="1"/>
  <c r="H532" i="21"/>
  <c r="H417" i="21" s="1"/>
  <c r="H537" i="21"/>
  <c r="I190" i="21"/>
  <c r="I535" i="21"/>
  <c r="I420" i="21" s="1"/>
  <c r="I534" i="21"/>
  <c r="H189" i="21"/>
  <c r="H530" i="21"/>
  <c r="H415" i="21" s="1"/>
  <c r="E208" i="21"/>
  <c r="E210" i="21" s="1"/>
  <c r="E154" i="21" s="1"/>
  <c r="E155" i="21" s="1"/>
  <c r="I143" i="21"/>
  <c r="J120" i="21"/>
  <c r="J149" i="21" s="1"/>
  <c r="J507" i="21"/>
  <c r="I144" i="21"/>
  <c r="G204" i="21"/>
  <c r="G131" i="21" s="1"/>
  <c r="G203" i="21"/>
  <c r="G449" i="21" s="1"/>
  <c r="I171" i="21"/>
  <c r="K2" i="21"/>
  <c r="J2" i="26"/>
  <c r="I198" i="21"/>
  <c r="I423" i="21" s="1"/>
  <c r="K338" i="21" l="1"/>
  <c r="L510" i="21"/>
  <c r="L334" i="21"/>
  <c r="M333" i="21"/>
  <c r="M338" i="21" s="1"/>
  <c r="M518" i="21"/>
  <c r="F581" i="21" s="1"/>
  <c r="M127" i="21"/>
  <c r="M129" i="21"/>
  <c r="M517" i="21" s="1"/>
  <c r="J510" i="21"/>
  <c r="J334" i="21"/>
  <c r="D577" i="21"/>
  <c r="K335" i="21"/>
  <c r="H584" i="21"/>
  <c r="H580" i="21"/>
  <c r="H568" i="21" s="1"/>
  <c r="B576" i="21"/>
  <c r="K161" i="21"/>
  <c r="K123" i="21"/>
  <c r="K139" i="21"/>
  <c r="K185" i="21"/>
  <c r="G192" i="21"/>
  <c r="G166" i="21" s="1"/>
  <c r="G424" i="21"/>
  <c r="E551" i="21"/>
  <c r="E461" i="21" s="1"/>
  <c r="E450" i="21"/>
  <c r="L564" i="21"/>
  <c r="R564" i="21" s="1"/>
  <c r="U568" i="21" s="1"/>
  <c r="C568" i="21"/>
  <c r="I588" i="21"/>
  <c r="F136" i="21"/>
  <c r="F336" i="21" s="1"/>
  <c r="C584" i="21"/>
  <c r="F572" i="21"/>
  <c r="C588" i="21"/>
  <c r="F593" i="21"/>
  <c r="O593" i="21" s="1"/>
  <c r="X569" i="21"/>
  <c r="H422" i="21"/>
  <c r="N577" i="21"/>
  <c r="I419" i="21"/>
  <c r="M559" i="21"/>
  <c r="D568" i="21" s="1"/>
  <c r="E337" i="21"/>
  <c r="I580" i="21"/>
  <c r="C576" i="21"/>
  <c r="I584" i="21"/>
  <c r="I576" i="21"/>
  <c r="Q584" i="21"/>
  <c r="N576" i="21"/>
  <c r="E156" i="21"/>
  <c r="E543" i="21"/>
  <c r="E453" i="21" s="1"/>
  <c r="E541" i="21"/>
  <c r="E451" i="21" s="1"/>
  <c r="E542" i="21"/>
  <c r="E452" i="21" s="1"/>
  <c r="E544" i="21"/>
  <c r="E454" i="21" s="1"/>
  <c r="J190" i="21"/>
  <c r="J535" i="21"/>
  <c r="J420" i="21" s="1"/>
  <c r="J534" i="21"/>
  <c r="I188" i="21"/>
  <c r="I533" i="21"/>
  <c r="I418" i="21" s="1"/>
  <c r="I537" i="21"/>
  <c r="I422" i="21" s="1"/>
  <c r="I532" i="21"/>
  <c r="G132" i="21"/>
  <c r="G133" i="21" s="1"/>
  <c r="G511" i="21" s="1"/>
  <c r="G519" i="21"/>
  <c r="H191" i="21"/>
  <c r="H531" i="21"/>
  <c r="H416" i="21" s="1"/>
  <c r="I189" i="21"/>
  <c r="I531" i="21" s="1"/>
  <c r="I416" i="21" s="1"/>
  <c r="I530" i="21"/>
  <c r="J143" i="21"/>
  <c r="J144" i="21"/>
  <c r="K120" i="21"/>
  <c r="K144" i="21" s="1"/>
  <c r="K507" i="21"/>
  <c r="H201" i="21"/>
  <c r="H204" i="21" s="1"/>
  <c r="G150" i="21"/>
  <c r="J195" i="21"/>
  <c r="I145" i="21"/>
  <c r="I536" i="21" s="1"/>
  <c r="I391" i="21" s="1"/>
  <c r="L2" i="21"/>
  <c r="K2" i="26"/>
  <c r="J196" i="21"/>
  <c r="J170" i="21" s="1"/>
  <c r="E242" i="21" s="1"/>
  <c r="J335" i="21" l="1"/>
  <c r="J339" i="21"/>
  <c r="C577" i="21"/>
  <c r="K339" i="21"/>
  <c r="M510" i="21"/>
  <c r="M334" i="21"/>
  <c r="L335" i="21"/>
  <c r="E577" i="21"/>
  <c r="L339" i="21"/>
  <c r="B580" i="21"/>
  <c r="F164" i="21"/>
  <c r="F167" i="21" s="1"/>
  <c r="F179" i="21" s="1"/>
  <c r="F512" i="21"/>
  <c r="F337" i="21" s="1"/>
  <c r="G341" i="21"/>
  <c r="G343" i="21" s="1"/>
  <c r="G342" i="21"/>
  <c r="G344" i="21" s="1"/>
  <c r="L185" i="21"/>
  <c r="L139" i="21"/>
  <c r="L123" i="21"/>
  <c r="L161" i="21"/>
  <c r="U576" i="21"/>
  <c r="R580" i="21" s="1"/>
  <c r="O576" i="21" s="1"/>
  <c r="H192" i="21"/>
  <c r="H166" i="21" s="1"/>
  <c r="H424" i="21"/>
  <c r="J588" i="21"/>
  <c r="O568" i="21"/>
  <c r="F460" i="21"/>
  <c r="G135" i="21"/>
  <c r="G514" i="21" s="1"/>
  <c r="G457" i="21"/>
  <c r="F208" i="21"/>
  <c r="F548" i="21"/>
  <c r="F459" i="21" s="1"/>
  <c r="D584" i="21"/>
  <c r="G572" i="21"/>
  <c r="G564" i="21"/>
  <c r="J584" i="21" s="1"/>
  <c r="G593" i="21"/>
  <c r="P593" i="21" s="1"/>
  <c r="D588" i="21"/>
  <c r="M564" i="21"/>
  <c r="S564" i="21" s="1"/>
  <c r="V568" i="21" s="1"/>
  <c r="Q581" i="21"/>
  <c r="I417" i="21"/>
  <c r="O577" i="21"/>
  <c r="J419" i="21"/>
  <c r="T577" i="21"/>
  <c r="I415" i="21"/>
  <c r="N569" i="21"/>
  <c r="I421" i="21"/>
  <c r="N559" i="21"/>
  <c r="N564" i="21" s="1"/>
  <c r="T564" i="21" s="1"/>
  <c r="I568" i="21"/>
  <c r="C580" i="21"/>
  <c r="G151" i="21"/>
  <c r="G546" i="21"/>
  <c r="G456" i="21" s="1"/>
  <c r="G515" i="21"/>
  <c r="G547" i="21"/>
  <c r="G458" i="21" s="1"/>
  <c r="I191" i="21"/>
  <c r="J189" i="21"/>
  <c r="J530" i="21"/>
  <c r="J188" i="21"/>
  <c r="J533" i="21"/>
  <c r="J418" i="21" s="1"/>
  <c r="J532" i="21"/>
  <c r="J537" i="21"/>
  <c r="J422" i="21" s="1"/>
  <c r="K189" i="21"/>
  <c r="K531" i="21" s="1"/>
  <c r="K416" i="21" s="1"/>
  <c r="K530" i="21"/>
  <c r="K149" i="21"/>
  <c r="L120" i="21"/>
  <c r="L149" i="21" s="1"/>
  <c r="L507" i="21"/>
  <c r="K143" i="21"/>
  <c r="H131" i="21"/>
  <c r="H203" i="21"/>
  <c r="H449" i="21" s="1"/>
  <c r="J171" i="21"/>
  <c r="M2" i="21"/>
  <c r="L2" i="26"/>
  <c r="J198" i="21"/>
  <c r="M335" i="21" l="1"/>
  <c r="F577" i="21"/>
  <c r="M339" i="21"/>
  <c r="G136" i="21"/>
  <c r="G336" i="21" s="1"/>
  <c r="R584" i="21"/>
  <c r="M185" i="21"/>
  <c r="M139" i="21"/>
  <c r="M123" i="21"/>
  <c r="M161" i="21"/>
  <c r="F340" i="21"/>
  <c r="E584" i="21"/>
  <c r="J580" i="21"/>
  <c r="D580" i="21" s="1"/>
  <c r="J145" i="21"/>
  <c r="J536" i="21" s="1"/>
  <c r="J423" i="21"/>
  <c r="I192" i="21"/>
  <c r="I166" i="21" s="1"/>
  <c r="I424" i="21"/>
  <c r="H572" i="21"/>
  <c r="V576" i="21"/>
  <c r="S580" i="21" s="1"/>
  <c r="S584" i="21" s="1"/>
  <c r="H593" i="21"/>
  <c r="Q593" i="21" s="1"/>
  <c r="E588" i="21"/>
  <c r="J576" i="21"/>
  <c r="H564" i="21"/>
  <c r="K584" i="21" s="1"/>
  <c r="E568" i="21"/>
  <c r="P568" i="21"/>
  <c r="D576" i="21"/>
  <c r="K588" i="21"/>
  <c r="U577" i="21"/>
  <c r="J415" i="21"/>
  <c r="R581" i="21"/>
  <c r="J417" i="21"/>
  <c r="V577" i="21"/>
  <c r="K415" i="21"/>
  <c r="O559" i="21"/>
  <c r="O564" i="21" s="1"/>
  <c r="U564" i="21" s="1"/>
  <c r="W576" i="21"/>
  <c r="T580" i="21" s="1"/>
  <c r="W568" i="21"/>
  <c r="Q568" i="21"/>
  <c r="L190" i="21"/>
  <c r="L535" i="21"/>
  <c r="L420" i="21" s="1"/>
  <c r="L534" i="21"/>
  <c r="K188" i="21"/>
  <c r="K533" i="21"/>
  <c r="K418" i="21" s="1"/>
  <c r="K532" i="21"/>
  <c r="K537" i="21"/>
  <c r="K422" i="21" s="1"/>
  <c r="K190" i="21"/>
  <c r="K535" i="21"/>
  <c r="K420" i="21" s="1"/>
  <c r="K534" i="21"/>
  <c r="H132" i="21"/>
  <c r="H133" i="21" s="1"/>
  <c r="H519" i="21"/>
  <c r="J191" i="21"/>
  <c r="J531" i="21"/>
  <c r="J416" i="21" s="1"/>
  <c r="L143" i="21"/>
  <c r="L144" i="21"/>
  <c r="M507" i="21"/>
  <c r="I201" i="21"/>
  <c r="I204" i="21" s="1"/>
  <c r="H150" i="21"/>
  <c r="M2" i="26"/>
  <c r="M120" i="21"/>
  <c r="K195" i="21"/>
  <c r="J568" i="21" l="1"/>
  <c r="J421" i="21"/>
  <c r="J391" i="21"/>
  <c r="H342" i="21"/>
  <c r="H344" i="21" s="1"/>
  <c r="H511" i="21"/>
  <c r="G460" i="21"/>
  <c r="G512" i="21"/>
  <c r="G337" i="21" s="1"/>
  <c r="H457" i="21"/>
  <c r="H341" i="21"/>
  <c r="H343" i="21" s="1"/>
  <c r="G208" i="21"/>
  <c r="G548" i="21"/>
  <c r="G459" i="21" s="1"/>
  <c r="G164" i="21"/>
  <c r="G167" i="21" s="1"/>
  <c r="G179" i="21" s="1"/>
  <c r="O569" i="21"/>
  <c r="F584" i="21"/>
  <c r="I564" i="21"/>
  <c r="L584" i="21" s="1"/>
  <c r="L588" i="21"/>
  <c r="I572" i="21"/>
  <c r="J192" i="21"/>
  <c r="J424" i="21"/>
  <c r="D243" i="21"/>
  <c r="P576" i="21"/>
  <c r="I593" i="21"/>
  <c r="R593" i="21" s="1"/>
  <c r="F588" i="21"/>
  <c r="F568" i="21"/>
  <c r="E576" i="21"/>
  <c r="K580" i="21"/>
  <c r="E580" i="21" s="1"/>
  <c r="K576" i="21"/>
  <c r="Q577" i="21"/>
  <c r="L419" i="21"/>
  <c r="P577" i="21"/>
  <c r="K419" i="21"/>
  <c r="S581" i="21"/>
  <c r="K417" i="21"/>
  <c r="X568" i="21"/>
  <c r="X576" i="21"/>
  <c r="U580" i="21" s="1"/>
  <c r="R568" i="21"/>
  <c r="T584" i="21"/>
  <c r="Q576" i="21"/>
  <c r="H515" i="21"/>
  <c r="H547" i="21"/>
  <c r="H458" i="21" s="1"/>
  <c r="H546" i="21"/>
  <c r="H456" i="21" s="1"/>
  <c r="H135" i="21"/>
  <c r="H136" i="21" s="1"/>
  <c r="L189" i="21"/>
  <c r="L531" i="21" s="1"/>
  <c r="L416" i="21" s="1"/>
  <c r="L530" i="21"/>
  <c r="K191" i="21"/>
  <c r="L188" i="21"/>
  <c r="L533" i="21"/>
  <c r="L418" i="21" s="1"/>
  <c r="L532" i="21"/>
  <c r="L537" i="21"/>
  <c r="L422" i="21" s="1"/>
  <c r="H151" i="21"/>
  <c r="C253" i="21"/>
  <c r="G252" i="21" s="1"/>
  <c r="I131" i="21"/>
  <c r="I519" i="21" s="1"/>
  <c r="B585" i="21" s="1"/>
  <c r="I203" i="21"/>
  <c r="I449" i="21" s="1"/>
  <c r="M144" i="21"/>
  <c r="M149" i="21"/>
  <c r="M143" i="21"/>
  <c r="K196" i="21"/>
  <c r="K170" i="21" s="1"/>
  <c r="F242" i="21" s="1"/>
  <c r="H512" i="21" l="1"/>
  <c r="H336" i="21"/>
  <c r="G340" i="21"/>
  <c r="L576" i="21"/>
  <c r="L580" i="21"/>
  <c r="L568" i="21" s="1"/>
  <c r="E243" i="21"/>
  <c r="J166" i="21"/>
  <c r="H460" i="21"/>
  <c r="H164" i="21"/>
  <c r="H167" i="21" s="1"/>
  <c r="H179" i="21" s="1"/>
  <c r="F576" i="21"/>
  <c r="K192" i="21"/>
  <c r="K424" i="21"/>
  <c r="K568" i="21"/>
  <c r="W577" i="21"/>
  <c r="L415" i="21"/>
  <c r="T581" i="21"/>
  <c r="L417" i="21"/>
  <c r="R576" i="21"/>
  <c r="U584" i="21"/>
  <c r="H208" i="21"/>
  <c r="H548" i="21"/>
  <c r="H459" i="21" s="1"/>
  <c r="H514" i="21"/>
  <c r="M189" i="21"/>
  <c r="M531" i="21" s="1"/>
  <c r="M416" i="21" s="1"/>
  <c r="M530" i="21"/>
  <c r="M188" i="21"/>
  <c r="M533" i="21"/>
  <c r="M418" i="21" s="1"/>
  <c r="M532" i="21"/>
  <c r="M537" i="21"/>
  <c r="M422" i="21" s="1"/>
  <c r="M190" i="21"/>
  <c r="M535" i="21"/>
  <c r="M420" i="21" s="1"/>
  <c r="M534" i="21"/>
  <c r="L191" i="21"/>
  <c r="H337" i="21"/>
  <c r="J201" i="21"/>
  <c r="J204" i="21" s="1"/>
  <c r="I150" i="21"/>
  <c r="I151" i="21" s="1"/>
  <c r="I132" i="21"/>
  <c r="I133" i="21" s="1"/>
  <c r="D237" i="21"/>
  <c r="K171" i="21"/>
  <c r="K198" i="21"/>
  <c r="I342" i="21" l="1"/>
  <c r="I344" i="21" s="1"/>
  <c r="I511" i="21"/>
  <c r="E573" i="21" s="1"/>
  <c r="I457" i="21"/>
  <c r="I341" i="21"/>
  <c r="I343" i="21" s="1"/>
  <c r="F580" i="21"/>
  <c r="F243" i="21"/>
  <c r="K166" i="21"/>
  <c r="L192" i="21"/>
  <c r="L424" i="21"/>
  <c r="K145" i="21"/>
  <c r="K536" i="21" s="1"/>
  <c r="K423" i="21"/>
  <c r="X577" i="21"/>
  <c r="M415" i="21"/>
  <c r="U581" i="21"/>
  <c r="M417" i="21"/>
  <c r="R577" i="21"/>
  <c r="M419" i="21"/>
  <c r="I547" i="21"/>
  <c r="I546" i="21"/>
  <c r="I456" i="21" s="1"/>
  <c r="M191" i="21"/>
  <c r="H340" i="21"/>
  <c r="I515" i="21"/>
  <c r="I135" i="21"/>
  <c r="D236" i="21"/>
  <c r="D238" i="21" s="1"/>
  <c r="J131" i="21"/>
  <c r="J519" i="21" s="1"/>
  <c r="C585" i="21" s="1"/>
  <c r="J203" i="21"/>
  <c r="J449" i="21" s="1"/>
  <c r="L195" i="21"/>
  <c r="L196" i="21"/>
  <c r="L170" i="21" s="1"/>
  <c r="G242" i="21" s="1"/>
  <c r="P569" i="21" l="1"/>
  <c r="K391" i="21"/>
  <c r="G243" i="21"/>
  <c r="L166" i="21"/>
  <c r="K421" i="21"/>
  <c r="B569" i="21"/>
  <c r="I458" i="21"/>
  <c r="M192" i="21"/>
  <c r="M424" i="21"/>
  <c r="I136" i="21"/>
  <c r="I514" i="21"/>
  <c r="H569" i="21" s="1"/>
  <c r="K201" i="21"/>
  <c r="K204" i="21" s="1"/>
  <c r="J150" i="21"/>
  <c r="J151" i="21" s="1"/>
  <c r="J132" i="21"/>
  <c r="J133" i="21" s="1"/>
  <c r="E237" i="21"/>
  <c r="D241" i="21"/>
  <c r="D239" i="21"/>
  <c r="D244" i="21" s="1"/>
  <c r="L171" i="21"/>
  <c r="L198" i="21"/>
  <c r="L423" i="21" s="1"/>
  <c r="I512" i="21" l="1"/>
  <c r="E565" i="21" s="1"/>
  <c r="I336" i="21"/>
  <c r="J342" i="21"/>
  <c r="J344" i="21" s="1"/>
  <c r="J511" i="21"/>
  <c r="F573" i="21" s="1"/>
  <c r="J457" i="21"/>
  <c r="J341" i="21"/>
  <c r="J343" i="21" s="1"/>
  <c r="H243" i="21"/>
  <c r="M166" i="21"/>
  <c r="I460" i="21"/>
  <c r="I164" i="21"/>
  <c r="I167" i="21" s="1"/>
  <c r="I179" i="21" s="1"/>
  <c r="I548" i="21"/>
  <c r="I459" i="21" s="1"/>
  <c r="J547" i="21"/>
  <c r="J546" i="21"/>
  <c r="J456" i="21" s="1"/>
  <c r="I208" i="21"/>
  <c r="J515" i="21"/>
  <c r="D246" i="21"/>
  <c r="D247" i="21" s="1"/>
  <c r="K131" i="21"/>
  <c r="K519" i="21" s="1"/>
  <c r="D585" i="21" s="1"/>
  <c r="K203" i="21"/>
  <c r="K449" i="21" s="1"/>
  <c r="J135" i="21"/>
  <c r="E236" i="21"/>
  <c r="E238" i="21" s="1"/>
  <c r="M195" i="21"/>
  <c r="L145" i="21"/>
  <c r="L536" i="21" s="1"/>
  <c r="L391" i="21" s="1"/>
  <c r="M196" i="21"/>
  <c r="M170" i="21" s="1"/>
  <c r="H242" i="21" s="1"/>
  <c r="I337" i="21" l="1"/>
  <c r="C569" i="21"/>
  <c r="J458" i="21"/>
  <c r="I340" i="21"/>
  <c r="Q569" i="21"/>
  <c r="L421" i="21"/>
  <c r="J136" i="21"/>
  <c r="J514" i="21"/>
  <c r="I569" i="21" s="1"/>
  <c r="K150" i="21"/>
  <c r="K151" i="21" s="1"/>
  <c r="L201" i="21"/>
  <c r="L204" i="21" s="1"/>
  <c r="K132" i="21"/>
  <c r="K133" i="21" s="1"/>
  <c r="F237" i="21"/>
  <c r="E241" i="21"/>
  <c r="E239" i="21"/>
  <c r="E244" i="21" s="1"/>
  <c r="M171" i="21"/>
  <c r="M198" i="21"/>
  <c r="J512" i="21" l="1"/>
  <c r="F565" i="21" s="1"/>
  <c r="J336" i="21"/>
  <c r="K342" i="21"/>
  <c r="K344" i="21" s="1"/>
  <c r="K511" i="21"/>
  <c r="G573" i="21" s="1"/>
  <c r="K457" i="21"/>
  <c r="K341" i="21"/>
  <c r="K343" i="21" s="1"/>
  <c r="J460" i="21"/>
  <c r="J164" i="21"/>
  <c r="J167" i="21" s="1"/>
  <c r="J179" i="21" s="1"/>
  <c r="M145" i="21"/>
  <c r="M536" i="21" s="1"/>
  <c r="M423" i="21"/>
  <c r="J548" i="21"/>
  <c r="J459" i="21" s="1"/>
  <c r="K546" i="21"/>
  <c r="K456" i="21" s="1"/>
  <c r="K547" i="21"/>
  <c r="J208" i="21"/>
  <c r="K515" i="21"/>
  <c r="E246" i="21"/>
  <c r="E247" i="21" s="1"/>
  <c r="K135" i="21"/>
  <c r="F236" i="21"/>
  <c r="F238" i="21" s="1"/>
  <c r="L131" i="21"/>
  <c r="L519" i="21" s="1"/>
  <c r="E585" i="21" s="1"/>
  <c r="L203" i="21"/>
  <c r="L449" i="21" s="1"/>
  <c r="R569" i="21" l="1"/>
  <c r="M391" i="21"/>
  <c r="M421" i="21"/>
  <c r="D569" i="21"/>
  <c r="K458" i="21"/>
  <c r="J340" i="21"/>
  <c r="J337" i="21"/>
  <c r="K136" i="21"/>
  <c r="K514" i="21"/>
  <c r="J569" i="21" s="1"/>
  <c r="L150" i="21"/>
  <c r="L151" i="21" s="1"/>
  <c r="M201" i="21"/>
  <c r="M204" i="21" s="1"/>
  <c r="F239" i="21"/>
  <c r="F244" i="21" s="1"/>
  <c r="F241" i="21"/>
  <c r="L132" i="21"/>
  <c r="L133" i="21" s="1"/>
  <c r="G237" i="21"/>
  <c r="K512" i="21" l="1"/>
  <c r="G565" i="21" s="1"/>
  <c r="K336" i="21"/>
  <c r="L342" i="21"/>
  <c r="L344" i="21" s="1"/>
  <c r="L511" i="21"/>
  <c r="H573" i="21" s="1"/>
  <c r="L457" i="21"/>
  <c r="L341" i="21"/>
  <c r="L343" i="21" s="1"/>
  <c r="K460" i="21"/>
  <c r="K164" i="21"/>
  <c r="K167" i="21" s="1"/>
  <c r="K179" i="21" s="1"/>
  <c r="K548" i="21"/>
  <c r="K459" i="21" s="1"/>
  <c r="L546" i="21"/>
  <c r="L456" i="21" s="1"/>
  <c r="L547" i="21"/>
  <c r="K208" i="21"/>
  <c r="L515" i="21"/>
  <c r="F246" i="21"/>
  <c r="F247" i="21" s="1"/>
  <c r="G236" i="21"/>
  <c r="G238" i="21" s="1"/>
  <c r="L135" i="21"/>
  <c r="M131" i="21"/>
  <c r="M519" i="21" s="1"/>
  <c r="F585" i="21" s="1"/>
  <c r="M203" i="21"/>
  <c r="M150" i="21" l="1"/>
  <c r="M151" i="21" s="1"/>
  <c r="M449" i="21"/>
  <c r="E569" i="21"/>
  <c r="L458" i="21"/>
  <c r="K340" i="21"/>
  <c r="K337" i="21"/>
  <c r="L136" i="21"/>
  <c r="L514" i="21"/>
  <c r="K569" i="21" s="1"/>
  <c r="G241" i="21"/>
  <c r="G239" i="21"/>
  <c r="G244" i="21" s="1"/>
  <c r="H237" i="21"/>
  <c r="M132" i="21"/>
  <c r="M133" i="21" s="1"/>
  <c r="L512" i="21" l="1"/>
  <c r="H565" i="21" s="1"/>
  <c r="L336" i="21"/>
  <c r="M342" i="21"/>
  <c r="M344" i="21" s="1"/>
  <c r="M511" i="21"/>
  <c r="I573" i="21" s="1"/>
  <c r="M457" i="21"/>
  <c r="M341" i="21"/>
  <c r="M343" i="21" s="1"/>
  <c r="L460" i="21"/>
  <c r="L164" i="21"/>
  <c r="L167" i="21" s="1"/>
  <c r="L179" i="21" s="1"/>
  <c r="L548" i="21"/>
  <c r="L459" i="21" s="1"/>
  <c r="M546" i="21"/>
  <c r="M456" i="21" s="1"/>
  <c r="M547" i="21"/>
  <c r="L208" i="21"/>
  <c r="M515" i="21"/>
  <c r="G246" i="21"/>
  <c r="G247" i="21" s="1"/>
  <c r="H236" i="21"/>
  <c r="H238" i="21" s="1"/>
  <c r="M135" i="21"/>
  <c r="M234" i="21" l="1"/>
  <c r="L337" i="21"/>
  <c r="F569" i="21"/>
  <c r="M458" i="21"/>
  <c r="L340" i="21"/>
  <c r="M136" i="21"/>
  <c r="M514" i="21"/>
  <c r="L569" i="21" s="1"/>
  <c r="H239" i="21"/>
  <c r="H244" i="21" s="1"/>
  <c r="H241" i="21"/>
  <c r="M233" i="21" s="1"/>
  <c r="M512" i="21" l="1"/>
  <c r="I565" i="21" s="1"/>
  <c r="M336" i="21"/>
  <c r="M460" i="21"/>
  <c r="M164" i="21"/>
  <c r="M167" i="21" s="1"/>
  <c r="M179" i="21" s="1"/>
  <c r="M548" i="21"/>
  <c r="M459" i="21" s="1"/>
  <c r="M208" i="21"/>
  <c r="M340" i="21" l="1"/>
  <c r="M337" i="21"/>
  <c r="H246" i="21"/>
  <c r="H247" i="21" s="1"/>
  <c r="F207" i="21" l="1"/>
  <c r="F210" i="21" s="1"/>
  <c r="E177" i="21"/>
  <c r="E179" i="21" s="1"/>
  <c r="E181" i="21" s="1"/>
  <c r="F180" i="21" l="1"/>
  <c r="F181" i="21" s="1"/>
  <c r="E142" i="21"/>
  <c r="F154" i="21"/>
  <c r="F155" i="21" s="1"/>
  <c r="F450" i="21" s="1"/>
  <c r="G207" i="21"/>
  <c r="G210" i="21" s="1"/>
  <c r="F156" i="21" l="1"/>
  <c r="F543" i="21"/>
  <c r="F453" i="21" s="1"/>
  <c r="F541" i="21"/>
  <c r="F451" i="21" s="1"/>
  <c r="F542" i="21"/>
  <c r="F452" i="21" s="1"/>
  <c r="F544" i="21"/>
  <c r="F454" i="21" s="1"/>
  <c r="F551" i="21"/>
  <c r="F461" i="21" s="1"/>
  <c r="E146" i="21"/>
  <c r="E523" i="21"/>
  <c r="E388" i="21" s="1"/>
  <c r="E522" i="21"/>
  <c r="E387" i="21" s="1"/>
  <c r="E538" i="21"/>
  <c r="G180" i="21"/>
  <c r="G181" i="21" s="1"/>
  <c r="F142" i="21"/>
  <c r="H207" i="21"/>
  <c r="H210" i="21" s="1"/>
  <c r="G154" i="21"/>
  <c r="G155" i="21" s="1"/>
  <c r="G450" i="21" s="1"/>
  <c r="E545" i="21" l="1"/>
  <c r="E455" i="21" s="1"/>
  <c r="E552" i="21"/>
  <c r="E462" i="21" s="1"/>
  <c r="G156" i="21"/>
  <c r="G541" i="21"/>
  <c r="G451" i="21" s="1"/>
  <c r="G542" i="21"/>
  <c r="G452" i="21" s="1"/>
  <c r="G543" i="21"/>
  <c r="G453" i="21" s="1"/>
  <c r="G544" i="21"/>
  <c r="G454" i="21" s="1"/>
  <c r="G551" i="21"/>
  <c r="G461" i="21" s="1"/>
  <c r="F146" i="21"/>
  <c r="F523" i="21"/>
  <c r="F388" i="21" s="1"/>
  <c r="F522" i="21"/>
  <c r="F387" i="21" s="1"/>
  <c r="F538" i="21"/>
  <c r="E158" i="21"/>
  <c r="E3" i="21" s="1"/>
  <c r="E524" i="21"/>
  <c r="E389" i="21" s="1"/>
  <c r="E525" i="21"/>
  <c r="E390" i="21" s="1"/>
  <c r="H180" i="21"/>
  <c r="H181" i="21" s="1"/>
  <c r="G142" i="21"/>
  <c r="I207" i="21"/>
  <c r="I210" i="21" s="1"/>
  <c r="H154" i="21"/>
  <c r="H155" i="21" s="1"/>
  <c r="H450" i="21" l="1"/>
  <c r="H156" i="21"/>
  <c r="H543" i="21"/>
  <c r="H453" i="21" s="1"/>
  <c r="H542" i="21"/>
  <c r="H452" i="21" s="1"/>
  <c r="H541" i="21"/>
  <c r="H551" i="21"/>
  <c r="H461" i="21" s="1"/>
  <c r="H544" i="21"/>
  <c r="H454" i="21" s="1"/>
  <c r="F545" i="21"/>
  <c r="F455" i="21" s="1"/>
  <c r="F552" i="21"/>
  <c r="F462" i="21" s="1"/>
  <c r="G146" i="21"/>
  <c r="G522" i="21"/>
  <c r="G387" i="21" s="1"/>
  <c r="G523" i="21"/>
  <c r="G388" i="21" s="1"/>
  <c r="G538" i="21"/>
  <c r="F158" i="21"/>
  <c r="F3" i="21" s="1"/>
  <c r="F524" i="21"/>
  <c r="F389" i="21" s="1"/>
  <c r="F525" i="21"/>
  <c r="F390" i="21" s="1"/>
  <c r="I180" i="21"/>
  <c r="I181" i="21" s="1"/>
  <c r="H142" i="21"/>
  <c r="C252" i="21" s="1"/>
  <c r="J207" i="21"/>
  <c r="J210" i="21" s="1"/>
  <c r="I154" i="21"/>
  <c r="I155" i="21" s="1"/>
  <c r="M227" i="21" l="1"/>
  <c r="H223" i="21" s="1"/>
  <c r="H451" i="21"/>
  <c r="I551" i="21"/>
  <c r="I450" i="21"/>
  <c r="G545" i="21"/>
  <c r="G455" i="21" s="1"/>
  <c r="G552" i="21"/>
  <c r="G462" i="21" s="1"/>
  <c r="I156" i="21"/>
  <c r="I541" i="21"/>
  <c r="I542" i="21"/>
  <c r="I452" i="21" s="1"/>
  <c r="I543" i="21"/>
  <c r="I453" i="21" s="1"/>
  <c r="I544" i="21"/>
  <c r="H522" i="21"/>
  <c r="H387" i="21" s="1"/>
  <c r="H523" i="21"/>
  <c r="H388" i="21" s="1"/>
  <c r="H538" i="21"/>
  <c r="G158" i="21"/>
  <c r="G3" i="21" s="1"/>
  <c r="G525" i="21"/>
  <c r="G390" i="21" s="1"/>
  <c r="G524" i="21"/>
  <c r="G389" i="21" s="1"/>
  <c r="J180" i="21"/>
  <c r="J181" i="21" s="1"/>
  <c r="I142" i="21"/>
  <c r="H146" i="21"/>
  <c r="K207" i="21"/>
  <c r="K210" i="21" s="1"/>
  <c r="J154" i="21"/>
  <c r="J155" i="21" s="1"/>
  <c r="H224" i="21" l="1"/>
  <c r="H228" i="21" s="1"/>
  <c r="K560" i="21"/>
  <c r="I461" i="21"/>
  <c r="J551" i="21"/>
  <c r="J450" i="21"/>
  <c r="E595" i="21"/>
  <c r="I451" i="21"/>
  <c r="E594" i="21"/>
  <c r="I454" i="21"/>
  <c r="H545" i="21"/>
  <c r="H455" i="21" s="1"/>
  <c r="H552" i="21"/>
  <c r="H462" i="21" s="1"/>
  <c r="J156" i="21"/>
  <c r="J543" i="21"/>
  <c r="J453" i="21" s="1"/>
  <c r="J541" i="21"/>
  <c r="J542" i="21"/>
  <c r="J452" i="21" s="1"/>
  <c r="J544" i="21"/>
  <c r="H158" i="21"/>
  <c r="H3" i="21" s="1"/>
  <c r="H524" i="21"/>
  <c r="H389" i="21" s="1"/>
  <c r="H525" i="21"/>
  <c r="H390" i="21" s="1"/>
  <c r="I146" i="21"/>
  <c r="I523" i="21"/>
  <c r="I522" i="21"/>
  <c r="I538" i="21"/>
  <c r="G253" i="21"/>
  <c r="G254" i="21" s="1"/>
  <c r="J142" i="21"/>
  <c r="K180" i="21"/>
  <c r="K181" i="21" s="1"/>
  <c r="L207" i="21"/>
  <c r="L210" i="21" s="1"/>
  <c r="K154" i="21"/>
  <c r="K155" i="21" s="1"/>
  <c r="M232" i="21" l="1"/>
  <c r="M235" i="21" s="1"/>
  <c r="I245" i="21" s="1"/>
  <c r="I246" i="21" s="1"/>
  <c r="I247" i="21" s="1"/>
  <c r="L560" i="21"/>
  <c r="J461" i="21"/>
  <c r="K551" i="21"/>
  <c r="K450" i="21"/>
  <c r="F594" i="21"/>
  <c r="J454" i="21"/>
  <c r="F595" i="21"/>
  <c r="J451" i="21"/>
  <c r="Q585" i="21"/>
  <c r="N594" i="21"/>
  <c r="I388" i="21"/>
  <c r="N595" i="21"/>
  <c r="I387" i="21"/>
  <c r="I545" i="21"/>
  <c r="I552" i="21"/>
  <c r="I462" i="21" s="1"/>
  <c r="K156" i="21"/>
  <c r="K542" i="21"/>
  <c r="K452" i="21" s="1"/>
  <c r="K543" i="21"/>
  <c r="K453" i="21" s="1"/>
  <c r="K541" i="21"/>
  <c r="K544" i="21"/>
  <c r="J146" i="21"/>
  <c r="J523" i="21"/>
  <c r="J522" i="21"/>
  <c r="J538" i="21"/>
  <c r="I158" i="21"/>
  <c r="I3" i="21" s="1"/>
  <c r="I524" i="21"/>
  <c r="I525" i="21"/>
  <c r="I390" i="21" s="1"/>
  <c r="C247" i="21"/>
  <c r="K142" i="21"/>
  <c r="L180" i="21"/>
  <c r="L181" i="21" s="1"/>
  <c r="M207" i="21"/>
  <c r="M210" i="21" s="1"/>
  <c r="M154" i="21" s="1"/>
  <c r="M155" i="21" s="1"/>
  <c r="L154" i="21"/>
  <c r="L155" i="21" s="1"/>
  <c r="G255" i="21" l="1"/>
  <c r="C251" i="21"/>
  <c r="M560" i="21"/>
  <c r="K461" i="21"/>
  <c r="M551" i="21"/>
  <c r="M450" i="21"/>
  <c r="L551" i="21"/>
  <c r="L450" i="21"/>
  <c r="G594" i="21"/>
  <c r="K454" i="21"/>
  <c r="K565" i="21"/>
  <c r="I455" i="21"/>
  <c r="G595" i="21"/>
  <c r="K451" i="21"/>
  <c r="R585" i="21"/>
  <c r="O595" i="21"/>
  <c r="J387" i="21"/>
  <c r="Q565" i="21"/>
  <c r="I389" i="21"/>
  <c r="O594" i="21"/>
  <c r="J388" i="21"/>
  <c r="J545" i="21"/>
  <c r="J552" i="21"/>
  <c r="J462" i="21" s="1"/>
  <c r="L156" i="21"/>
  <c r="L541" i="21"/>
  <c r="L542" i="21"/>
  <c r="L452" i="21" s="1"/>
  <c r="L543" i="21"/>
  <c r="L453" i="21" s="1"/>
  <c r="L544" i="21"/>
  <c r="M156" i="21"/>
  <c r="M541" i="21"/>
  <c r="M451" i="21" s="1"/>
  <c r="M542" i="21"/>
  <c r="M452" i="21" s="1"/>
  <c r="M543" i="21"/>
  <c r="M453" i="21" s="1"/>
  <c r="M544" i="21"/>
  <c r="K146" i="21"/>
  <c r="K522" i="21"/>
  <c r="K523" i="21"/>
  <c r="K538" i="21"/>
  <c r="J158" i="21"/>
  <c r="J3" i="21" s="1"/>
  <c r="J525" i="21"/>
  <c r="J390" i="21" s="1"/>
  <c r="J524" i="21"/>
  <c r="M180" i="21"/>
  <c r="M181" i="21" s="1"/>
  <c r="M142" i="21" s="1"/>
  <c r="L142" i="21"/>
  <c r="K251" i="21" l="1"/>
  <c r="C254" i="21"/>
  <c r="O560" i="21"/>
  <c r="M461" i="21"/>
  <c r="N560" i="21"/>
  <c r="L461" i="21"/>
  <c r="I595" i="21"/>
  <c r="H594" i="21"/>
  <c r="L454" i="21"/>
  <c r="L565" i="21"/>
  <c r="J455" i="21"/>
  <c r="I594" i="21"/>
  <c r="M454" i="21"/>
  <c r="H595" i="21"/>
  <c r="L451" i="21"/>
  <c r="S585" i="21"/>
  <c r="P595" i="21"/>
  <c r="K387" i="21"/>
  <c r="R565" i="21"/>
  <c r="J389" i="21"/>
  <c r="P594" i="21"/>
  <c r="K388" i="21"/>
  <c r="K545" i="21"/>
  <c r="K552" i="21"/>
  <c r="K462" i="21" s="1"/>
  <c r="L146" i="21"/>
  <c r="L522" i="21"/>
  <c r="L523" i="21"/>
  <c r="L538" i="21"/>
  <c r="M146" i="21"/>
  <c r="M522" i="21"/>
  <c r="M523" i="21"/>
  <c r="M538" i="21"/>
  <c r="K158" i="21"/>
  <c r="K3" i="21" s="1"/>
  <c r="K524" i="21"/>
  <c r="K525" i="21"/>
  <c r="K390" i="21" s="1"/>
  <c r="B317" i="21" l="1"/>
  <c r="B278" i="21"/>
  <c r="B291" i="21"/>
  <c r="L4" i="21"/>
  <c r="B304" i="21"/>
  <c r="K252" i="21"/>
  <c r="K254" i="21" s="1"/>
  <c r="B265" i="21"/>
  <c r="M565" i="21"/>
  <c r="K455" i="21"/>
  <c r="U585" i="21"/>
  <c r="T585" i="21"/>
  <c r="R594" i="21"/>
  <c r="M388" i="21"/>
  <c r="Q594" i="21"/>
  <c r="L388" i="21"/>
  <c r="S565" i="21"/>
  <c r="K389" i="21"/>
  <c r="R595" i="21"/>
  <c r="M387" i="21"/>
  <c r="Q595" i="21"/>
  <c r="L387" i="21"/>
  <c r="M545" i="21"/>
  <c r="M552" i="21"/>
  <c r="M462" i="21" s="1"/>
  <c r="L545" i="21"/>
  <c r="L552" i="21"/>
  <c r="L462" i="21" s="1"/>
  <c r="L158" i="21"/>
  <c r="L3" i="21" s="1"/>
  <c r="L525" i="21"/>
  <c r="L390" i="21" s="1"/>
  <c r="L524" i="21"/>
  <c r="M158" i="21"/>
  <c r="M3" i="21" s="1"/>
  <c r="M524" i="21"/>
  <c r="M525" i="21"/>
  <c r="M390" i="21" s="1"/>
  <c r="O565" i="21" l="1"/>
  <c r="M455" i="21"/>
  <c r="N565" i="21"/>
  <c r="L455" i="21"/>
  <c r="U565" i="21"/>
  <c r="M389" i="21"/>
  <c r="T565" i="21"/>
  <c r="L38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ACS Consulting | Kashif Javaid</author>
    <author>Toptal | Finance Expert</author>
    <author>Kashif Javaid | ACS Consulting</author>
  </authors>
  <commentList>
    <comment ref="A13" authorId="0" shapeId="0" xr:uid="{54781BFD-9FB5-4FA2-B5FD-E58FC062F3BB}">
      <text>
        <r>
          <rPr>
            <b/>
            <sz val="9"/>
            <color indexed="81"/>
            <rFont val="Tahoma"/>
            <family val="2"/>
          </rPr>
          <t>Kashif | ACS Consulting</t>
        </r>
        <r>
          <rPr>
            <sz val="9"/>
            <color indexed="81"/>
            <rFont val="Tahoma"/>
            <family val="2"/>
          </rPr>
          <t xml:space="preserve">
Assuming that there will be not change in the average per unit selling prices of 2017 for the foreseeable future.
</t>
        </r>
      </text>
    </comment>
    <comment ref="A14" authorId="0" shapeId="0" xr:uid="{267D8CC0-EA02-48BD-8CE8-C5C8F7B658CF}">
      <text>
        <r>
          <rPr>
            <b/>
            <sz val="9"/>
            <color indexed="81"/>
            <rFont val="Tahoma"/>
            <family val="2"/>
          </rPr>
          <t xml:space="preserve">Kashif | ACS Consulting:
</t>
        </r>
        <r>
          <rPr>
            <sz val="9"/>
            <color indexed="81"/>
            <rFont val="Tahoma"/>
            <family val="2"/>
          </rPr>
          <t xml:space="preserve">Euro per One GBP
</t>
        </r>
      </text>
    </comment>
    <comment ref="A19" authorId="1" shapeId="0" xr:uid="{8F76B42E-4974-420A-B835-43FFB1CD1D13}">
      <text>
        <r>
          <rPr>
            <b/>
            <sz val="9"/>
            <color indexed="81"/>
            <rFont val="Tahoma"/>
            <family val="2"/>
          </rPr>
          <t>Kashif | ACS Consulting:</t>
        </r>
        <r>
          <rPr>
            <sz val="9"/>
            <color indexed="81"/>
            <rFont val="Tahoma"/>
            <family val="2"/>
          </rPr>
          <t xml:space="preserve">
Ignoring Inflation</t>
        </r>
      </text>
    </comment>
    <comment ref="A41" authorId="0" shapeId="0" xr:uid="{B2205D57-D387-4941-A2F4-C9F2ECAA0697}">
      <text>
        <r>
          <rPr>
            <b/>
            <sz val="9"/>
            <color indexed="81"/>
            <rFont val="Tahoma"/>
            <family val="2"/>
          </rPr>
          <t>Kashif | ACS Consulting:</t>
        </r>
        <r>
          <rPr>
            <sz val="9"/>
            <color indexed="81"/>
            <rFont val="Tahoma"/>
            <family val="2"/>
          </rPr>
          <t xml:space="preserve">
Assuming that there will be not change in the average per unit selling prices of 2017 for the foreseeable future</t>
        </r>
      </text>
    </comment>
    <comment ref="A42" authorId="0" shapeId="0" xr:uid="{0E51EF6F-47D7-4EB3-A0C3-0A70EA66512D}">
      <text>
        <r>
          <rPr>
            <b/>
            <sz val="9"/>
            <color indexed="81"/>
            <rFont val="Tahoma"/>
            <family val="2"/>
          </rPr>
          <t xml:space="preserve">Kashif | ACS Consulting:
</t>
        </r>
        <r>
          <rPr>
            <sz val="9"/>
            <color indexed="81"/>
            <rFont val="Tahoma"/>
            <family val="2"/>
          </rPr>
          <t xml:space="preserve">Euro per One GBP
</t>
        </r>
      </text>
    </comment>
    <comment ref="A69" authorId="0" shapeId="0" xr:uid="{50ADA792-A558-4306-907C-8A191CCFD76D}">
      <text>
        <r>
          <rPr>
            <b/>
            <sz val="9"/>
            <color indexed="81"/>
            <rFont val="Tahoma"/>
            <family val="2"/>
          </rPr>
          <t>Kashif | ACS Consulting:</t>
        </r>
        <r>
          <rPr>
            <sz val="9"/>
            <color indexed="81"/>
            <rFont val="Tahoma"/>
            <family val="2"/>
          </rPr>
          <t xml:space="preserve">
Assuming that there will be not change in the average per unit selling prices of 2017 for the foreseeable future</t>
        </r>
      </text>
    </comment>
    <comment ref="A70" authorId="0" shapeId="0" xr:uid="{1D0450E1-06ED-41E8-B892-8676A2ADA5EF}">
      <text>
        <r>
          <rPr>
            <b/>
            <sz val="9"/>
            <color indexed="81"/>
            <rFont val="Tahoma"/>
            <family val="2"/>
          </rPr>
          <t xml:space="preserve">Kashif | ACS Consulting:
</t>
        </r>
        <r>
          <rPr>
            <sz val="9"/>
            <color indexed="81"/>
            <rFont val="Tahoma"/>
            <family val="2"/>
          </rPr>
          <t xml:space="preserve">Euro per One GBP
</t>
        </r>
      </text>
    </comment>
    <comment ref="A97" authorId="0" shapeId="0" xr:uid="{04A38DB7-DE32-4771-AF39-AB12AE4D9964}">
      <text>
        <r>
          <rPr>
            <b/>
            <sz val="9"/>
            <color indexed="81"/>
            <rFont val="Tahoma"/>
            <family val="2"/>
          </rPr>
          <t>Kashif | ACS Consulting:</t>
        </r>
        <r>
          <rPr>
            <sz val="9"/>
            <color indexed="81"/>
            <rFont val="Tahoma"/>
            <family val="2"/>
          </rPr>
          <t xml:space="preserve">
Assuming that there will be not change in the average per unit selling prices of 2017 for the foreseeable future</t>
        </r>
      </text>
    </comment>
    <comment ref="A98" authorId="0" shapeId="0" xr:uid="{77301D98-37A5-4AD6-A2F7-B81E2B1747FD}">
      <text>
        <r>
          <rPr>
            <b/>
            <sz val="9"/>
            <color indexed="81"/>
            <rFont val="Tahoma"/>
            <family val="2"/>
          </rPr>
          <t xml:space="preserve">Kashif | ACS Consulting:
</t>
        </r>
        <r>
          <rPr>
            <sz val="9"/>
            <color indexed="81"/>
            <rFont val="Tahoma"/>
            <family val="2"/>
          </rPr>
          <t xml:space="preserve">Euro per One GBP
</t>
        </r>
      </text>
    </comment>
    <comment ref="L204" authorId="0" shapeId="0" xr:uid="{6935C548-9E57-4C29-8255-6FD1503C00FD}">
      <text>
        <r>
          <rPr>
            <b/>
            <sz val="9"/>
            <color indexed="81"/>
            <rFont val="Tahoma"/>
            <family val="2"/>
          </rPr>
          <t xml:space="preserve">TOPTAL | Finance Expert:
</t>
        </r>
        <r>
          <rPr>
            <sz val="9"/>
            <color indexed="81"/>
            <rFont val="Tahoma"/>
            <family val="2"/>
          </rPr>
          <t xml:space="preserve">Assuming that full year interest will be payable the final year. 
</t>
        </r>
      </text>
    </comment>
    <comment ref="H220" authorId="2" shapeId="0" xr:uid="{6DB6E887-1944-4026-9B03-4B474DC161C3}">
      <text>
        <r>
          <rPr>
            <b/>
            <sz val="9"/>
            <color indexed="81"/>
            <rFont val="Tahoma"/>
            <family val="2"/>
          </rPr>
          <t>Kashif Javaid | ACS Consulting:</t>
        </r>
        <r>
          <rPr>
            <sz val="9"/>
            <color indexed="81"/>
            <rFont val="Tahoma"/>
            <family val="2"/>
          </rPr>
          <t xml:space="preserve">
This is just a random assumptions made for this sample financiial model i.e. It does not represent any real researched rate.</t>
        </r>
      </text>
    </comment>
    <comment ref="H221" authorId="2" shapeId="0" xr:uid="{753CE8DA-FDF2-4CB7-99E5-A67153E09043}">
      <text>
        <r>
          <rPr>
            <b/>
            <sz val="9"/>
            <color indexed="81"/>
            <rFont val="Tahoma"/>
            <family val="2"/>
          </rPr>
          <t>Kashif Javaid | ACS Consulting:</t>
        </r>
        <r>
          <rPr>
            <sz val="9"/>
            <color indexed="81"/>
            <rFont val="Tahoma"/>
            <family val="2"/>
          </rPr>
          <t xml:space="preserve">
This is just a random assumptions made for this sample financiial model i.e. It does not represent any real researched rate.</t>
        </r>
      </text>
    </comment>
    <comment ref="C225" authorId="1" shapeId="0" xr:uid="{E4316B54-3955-4A99-9F63-AD7C1A12E867}">
      <text>
        <r>
          <rPr>
            <b/>
            <sz val="9"/>
            <color indexed="81"/>
            <rFont val="Tahoma"/>
            <family val="2"/>
          </rPr>
          <t>Kashif | ACS Consulting</t>
        </r>
        <r>
          <rPr>
            <sz val="9"/>
            <color indexed="81"/>
            <rFont val="Tahoma"/>
            <family val="2"/>
          </rPr>
          <t xml:space="preserve">
I USD is equal to this figure in GBP</t>
        </r>
      </text>
    </comment>
    <comment ref="H225" authorId="2" shapeId="0" xr:uid="{D47A4B08-78B1-42D9-84DB-2A2588E95A8F}">
      <text>
        <r>
          <rPr>
            <b/>
            <sz val="9"/>
            <color indexed="81"/>
            <rFont val="Tahoma"/>
            <family val="2"/>
          </rPr>
          <t>Kashif Javaid | ACS Consulting:</t>
        </r>
        <r>
          <rPr>
            <sz val="9"/>
            <color indexed="81"/>
            <rFont val="Tahoma"/>
            <family val="2"/>
          </rPr>
          <t xml:space="preserve">
To avoid a circular reference, which could be difficult to understand for the reader, this assumption has been made with an absolute value. i.e. with a target to arrive at the re-levered beta value of less than 2.
Please note that the purpose of this model is to demonstrate the process rather than calculate the value of the business with precision.</t>
        </r>
      </text>
    </comment>
    <comment ref="M225" authorId="2" shapeId="0" xr:uid="{F51DA8A3-CA9D-4B3D-97C1-58ACBF77230D}">
      <text>
        <r>
          <rPr>
            <b/>
            <sz val="9"/>
            <color indexed="81"/>
            <rFont val="Tahoma"/>
            <family val="2"/>
          </rPr>
          <t>Kashif Javaid | ACS Consulting:</t>
        </r>
        <r>
          <rPr>
            <sz val="9"/>
            <color indexed="81"/>
            <rFont val="Tahoma"/>
            <family val="2"/>
          </rPr>
          <t xml:space="preserve">
This is just a random assumptions made for this sample financiial model i.e. It does not represent any real researched rate.</t>
        </r>
      </text>
    </comment>
    <comment ref="C231" authorId="1" shapeId="0" xr:uid="{DE170982-D076-42FD-B74B-914CB4217A03}">
      <text>
        <r>
          <rPr>
            <b/>
            <sz val="9"/>
            <color indexed="81"/>
            <rFont val="Tahoma"/>
            <family val="2"/>
          </rPr>
          <t>Kashif Javaid | ACS Consulting:</t>
        </r>
        <r>
          <rPr>
            <sz val="9"/>
            <color indexed="81"/>
            <rFont val="Tahoma"/>
            <family val="2"/>
          </rPr>
          <t xml:space="preserve">
This represents the point in time at which we are trying to establish the value the business.
</t>
        </r>
      </text>
    </comment>
    <comment ref="I232" authorId="1" shapeId="0" xr:uid="{3741AA12-89E7-4CCC-AC85-EC0420250BEF}">
      <text>
        <r>
          <rPr>
            <b/>
            <sz val="9"/>
            <color indexed="81"/>
            <rFont val="Tahoma"/>
            <family val="2"/>
          </rPr>
          <t>Kashif Javaid | ACS Consulting:</t>
        </r>
        <r>
          <rPr>
            <sz val="9"/>
            <color indexed="81"/>
            <rFont val="Tahoma"/>
            <family val="2"/>
          </rPr>
          <t xml:space="preserve">
Assuming that the business is sold on the last day of the last forecast period. </t>
        </r>
      </text>
    </comment>
    <comment ref="A241" authorId="1" shapeId="0" xr:uid="{233C14B3-D270-430F-A6D0-383B55D96B8A}">
      <text>
        <r>
          <rPr>
            <b/>
            <sz val="9"/>
            <color indexed="81"/>
            <rFont val="Tahoma"/>
            <family val="2"/>
          </rPr>
          <t>Toptal | Finance Expert:</t>
        </r>
        <r>
          <rPr>
            <sz val="9"/>
            <color indexed="81"/>
            <rFont val="Tahoma"/>
            <family val="2"/>
          </rPr>
          <t xml:space="preserve">
This is placed here simply for quick reference for calculating Exit value based on EBITDA Multiple.</t>
        </r>
      </text>
    </comment>
    <comment ref="A247" authorId="1" shapeId="0" xr:uid="{920B878E-F58B-47BC-AD15-C9C0DC59270C}">
      <text>
        <r>
          <rPr>
            <b/>
            <sz val="9"/>
            <color indexed="81"/>
            <rFont val="Tahoma"/>
            <family val="2"/>
          </rPr>
          <t>Toptal | Finance Expert:</t>
        </r>
        <r>
          <rPr>
            <sz val="9"/>
            <color indexed="81"/>
            <rFont val="Tahoma"/>
            <family val="2"/>
          </rPr>
          <t xml:space="preserve">
This is meant to calculate IRR for the buyer for assistance with assessing the reasonableness of the offer.</t>
        </r>
      </text>
    </comment>
    <comment ref="A522" authorId="1" shapeId="0" xr:uid="{77AEC653-4AB8-451F-B145-0EF1BE8ECACD}">
      <text>
        <r>
          <rPr>
            <b/>
            <sz val="9"/>
            <color indexed="81"/>
            <rFont val="Tahoma"/>
            <family val="2"/>
          </rPr>
          <t>Toptal | Finance Expert:</t>
        </r>
        <r>
          <rPr>
            <sz val="9"/>
            <color indexed="81"/>
            <rFont val="Tahoma"/>
            <family val="2"/>
          </rPr>
          <t xml:space="preserve">
The interest payment obligation for the year has been left out of the definition of current liabilities for these ratios.</t>
        </r>
      </text>
    </comment>
    <comment ref="A536" authorId="1" shapeId="0" xr:uid="{A1649040-A85C-47BE-A270-E0BA7DB43BF3}">
      <text>
        <r>
          <rPr>
            <b/>
            <sz val="9"/>
            <color indexed="81"/>
            <rFont val="Tahoma"/>
            <family val="2"/>
          </rPr>
          <t>Toptal | Finance Expert:</t>
        </r>
        <r>
          <rPr>
            <sz val="9"/>
            <color indexed="81"/>
            <rFont val="Tahoma"/>
            <family val="2"/>
          </rPr>
          <t xml:space="preserve">
Calculated using closing PP&amp;E Balance. It could also be calculated using average balance.</t>
        </r>
      </text>
    </comment>
    <comment ref="A537" authorId="1" shapeId="0" xr:uid="{6EAB704A-3138-4BC8-925A-0E81DCB54C3F}">
      <text>
        <r>
          <rPr>
            <b/>
            <sz val="9"/>
            <color indexed="81"/>
            <rFont val="Tahoma"/>
            <family val="2"/>
          </rPr>
          <t xml:space="preserve">Toptal | Finance Expert:
</t>
        </r>
        <r>
          <rPr>
            <sz val="9"/>
            <color indexed="81"/>
            <rFont val="Tahoma"/>
            <family val="2"/>
          </rPr>
          <t xml:space="preserve">
Calculated using closing Working Capital Balance. It could also be calculated using average balance.</t>
        </r>
      </text>
    </comment>
    <comment ref="A538" authorId="1" shapeId="0" xr:uid="{D5870232-3690-4DF3-9479-0B2F9908A263}">
      <text>
        <r>
          <rPr>
            <b/>
            <sz val="9"/>
            <color indexed="81"/>
            <rFont val="Tahoma"/>
            <family val="2"/>
          </rPr>
          <t>Toptal | Finance Expert:</t>
        </r>
        <r>
          <rPr>
            <sz val="9"/>
            <color indexed="81"/>
            <rFont val="Tahoma"/>
            <family val="2"/>
          </rPr>
          <t xml:space="preserve">
Calculated using closing Cash Balance. It could also be calculated using average balance.</t>
        </r>
      </text>
    </comment>
  </commentList>
</comments>
</file>

<file path=xl/sharedStrings.xml><?xml version="1.0" encoding="utf-8"?>
<sst xmlns="http://schemas.openxmlformats.org/spreadsheetml/2006/main" count="510" uniqueCount="286">
  <si>
    <t>Income Statement</t>
  </si>
  <si>
    <t>Gross Profit</t>
  </si>
  <si>
    <t>Depreciation &amp; Amortization</t>
  </si>
  <si>
    <t>Interest</t>
  </si>
  <si>
    <t>Earnings Before Tax</t>
  </si>
  <si>
    <t>Taxes</t>
  </si>
  <si>
    <t>Net Earnings</t>
  </si>
  <si>
    <t>Balance Sheet</t>
  </si>
  <si>
    <t>Assets</t>
  </si>
  <si>
    <t>Cash</t>
  </si>
  <si>
    <t>Accounts Receivable</t>
  </si>
  <si>
    <t>Property &amp; Equipment</t>
  </si>
  <si>
    <t>Plus Capex</t>
  </si>
  <si>
    <t>Less Depreciation</t>
  </si>
  <si>
    <t>Inventory</t>
  </si>
  <si>
    <t>Total Assets</t>
  </si>
  <si>
    <t>Liabilities</t>
  </si>
  <si>
    <t>Accounts Payable</t>
  </si>
  <si>
    <t>Debt Opening</t>
  </si>
  <si>
    <t>Issuance (repayment)</t>
  </si>
  <si>
    <t>Debt Closing</t>
  </si>
  <si>
    <t>Interest Expense</t>
  </si>
  <si>
    <t>Total Liabilities</t>
  </si>
  <si>
    <t>Shareholder's Equity</t>
  </si>
  <si>
    <t>Equity Capital</t>
  </si>
  <si>
    <t>Retained Earnings</t>
  </si>
  <si>
    <t>Total Liabilities &amp; Shareholder's Equity</t>
  </si>
  <si>
    <t>Operating Cash Flow</t>
  </si>
  <si>
    <t>Plus: Depreciation &amp; Amortization</t>
  </si>
  <si>
    <t>Cash from Operations</t>
  </si>
  <si>
    <t>Change in NWC</t>
  </si>
  <si>
    <t>Net Working Capital (NWC)</t>
  </si>
  <si>
    <t>Less: Changes in Working Capital</t>
  </si>
  <si>
    <t>Investing Cash Flow</t>
  </si>
  <si>
    <t>Investments in Property &amp; Equipment</t>
  </si>
  <si>
    <t>Cash from Investing</t>
  </si>
  <si>
    <t>Financing Cash Flow</t>
  </si>
  <si>
    <t>Issuance (repayment) of debt</t>
  </si>
  <si>
    <t>Issuance (repayment) of equity</t>
  </si>
  <si>
    <t>Cash from Financing</t>
  </si>
  <si>
    <t>Net Increase (decrease) in Cash</t>
  </si>
  <si>
    <t>Opening Cash Balance</t>
  </si>
  <si>
    <t>Closing Cash Balance</t>
  </si>
  <si>
    <t>Cash Flow Statement</t>
  </si>
  <si>
    <t>Check</t>
  </si>
  <si>
    <t>Supporting Schedules</t>
  </si>
  <si>
    <t>Working Capital Schedule</t>
  </si>
  <si>
    <t>Depreciation Schedule</t>
  </si>
  <si>
    <t>Debt &amp; Interest Schedule</t>
  </si>
  <si>
    <t>Cost of Goods Sold (COGS)</t>
  </si>
  <si>
    <t>Historical Results</t>
  </si>
  <si>
    <t>Cost of Goods Sold (% of Revenue)</t>
  </si>
  <si>
    <t>Revenue Growth (% Change)</t>
  </si>
  <si>
    <t>Interest (% of Debt)</t>
  </si>
  <si>
    <t>Tax Rate (% of Earnings Before Tax)</t>
  </si>
  <si>
    <t>Accounts Receivable (Days)</t>
  </si>
  <si>
    <t>Inventory (Days)</t>
  </si>
  <si>
    <t>Accounts Payable (Days)</t>
  </si>
  <si>
    <t>Capital Expenditures ($000's)</t>
  </si>
  <si>
    <t>Equity Issued (Repaid) ($000's)</t>
  </si>
  <si>
    <t>Debt Issuance (Repayment) ($000's)</t>
  </si>
  <si>
    <t xml:space="preserve"> Forecast Period</t>
  </si>
  <si>
    <t>Balance Sheet Check</t>
  </si>
  <si>
    <t>Assumptions</t>
  </si>
  <si>
    <t>Expenses</t>
  </si>
  <si>
    <t>Total Expenses</t>
  </si>
  <si>
    <t>DCF Model</t>
  </si>
  <si>
    <t>EBT</t>
  </si>
  <si>
    <t>EBIT</t>
  </si>
  <si>
    <t>Less: Cash Taxes</t>
  </si>
  <si>
    <t>Less: Capex</t>
  </si>
  <si>
    <t>Less: Changes in NWC</t>
  </si>
  <si>
    <t>Plus: D&amp;A</t>
  </si>
  <si>
    <t>Terminal Value</t>
  </si>
  <si>
    <t>(Entry)/Exit</t>
  </si>
  <si>
    <t>EV/EBITDA</t>
  </si>
  <si>
    <t>Average</t>
  </si>
  <si>
    <t>Discounted Cash Flow</t>
  </si>
  <si>
    <t>IRR</t>
  </si>
  <si>
    <t>Entry</t>
  </si>
  <si>
    <t>Exit</t>
  </si>
  <si>
    <t>Date</t>
  </si>
  <si>
    <t>Plus: Debt</t>
  </si>
  <si>
    <t>Less: Cash</t>
  </si>
  <si>
    <t>Enterprise Value</t>
  </si>
  <si>
    <t>Plus: Cash</t>
  </si>
  <si>
    <t>Less: Debt</t>
  </si>
  <si>
    <t>Equity Value</t>
  </si>
  <si>
    <t>Intrinsic Value</t>
  </si>
  <si>
    <t>Sensitivity Analysis</t>
  </si>
  <si>
    <t>EBITDA</t>
  </si>
  <si>
    <t>Exit Multiple</t>
  </si>
  <si>
    <t>Base Case</t>
  </si>
  <si>
    <t>Downside Case</t>
  </si>
  <si>
    <t>Upside Case</t>
  </si>
  <si>
    <t>Strictly Confidential</t>
  </si>
  <si>
    <t>Table of Contents</t>
  </si>
  <si>
    <t>Notes</t>
  </si>
  <si>
    <t>Revenue</t>
  </si>
  <si>
    <t>Live Case</t>
  </si>
  <si>
    <t>PP&amp;E Opening</t>
  </si>
  <si>
    <t>PP&amp;E Closing</t>
  </si>
  <si>
    <t>Perpetual Growth Rate</t>
  </si>
  <si>
    <t>Perpetual Growth</t>
  </si>
  <si>
    <t>Business Valuation Model</t>
  </si>
  <si>
    <t>GBP '000</t>
  </si>
  <si>
    <t>Operating Expenses</t>
  </si>
  <si>
    <t>Retained Earnings Schedule</t>
  </si>
  <si>
    <t>Opening Balance</t>
  </si>
  <si>
    <t>Closing Balance</t>
  </si>
  <si>
    <t>Dividends Paid</t>
  </si>
  <si>
    <t>Dividends Payment</t>
  </si>
  <si>
    <t>United Kingdom</t>
  </si>
  <si>
    <t>Eurozone</t>
  </si>
  <si>
    <t>Asia</t>
  </si>
  <si>
    <t>Rest of World</t>
  </si>
  <si>
    <t>Revenue Analysis</t>
  </si>
  <si>
    <t>Speaker Sets Manufactured</t>
  </si>
  <si>
    <t>Growth rate</t>
  </si>
  <si>
    <t>Other Countries in Asia</t>
  </si>
  <si>
    <t>Japan</t>
  </si>
  <si>
    <t>Base Case Scenario</t>
  </si>
  <si>
    <t>Downside Case Scenario</t>
  </si>
  <si>
    <t>Upside Case Scenario</t>
  </si>
  <si>
    <t>Growth stagnation in UK</t>
  </si>
  <si>
    <t>Modest growth in Asia as well as in North America</t>
  </si>
  <si>
    <t>Modest growth in Eurozone</t>
  </si>
  <si>
    <t>Speaker Sets Sold By Region (Number of Units)</t>
  </si>
  <si>
    <t>Slow growth in North America &amp; Rest of The World</t>
  </si>
  <si>
    <t>Sales shrinkage in UK</t>
  </si>
  <si>
    <t>Growth stagnation in Eurozone</t>
  </si>
  <si>
    <t>Modest growth in Asia</t>
  </si>
  <si>
    <t>Sales growth revival in UK</t>
  </si>
  <si>
    <t>Continuation of good growth in Eurozone</t>
  </si>
  <si>
    <t>Good growth in Asia</t>
  </si>
  <si>
    <t>Good growth in North America &amp; Rest of The World</t>
  </si>
  <si>
    <t>Number of units sold in Eurozone</t>
  </si>
  <si>
    <t>Average Price Per Unit (GBP)</t>
  </si>
  <si>
    <t>Growth rate(Total)</t>
  </si>
  <si>
    <t>Total Units Sold</t>
  </si>
  <si>
    <t>Total Units Sold -Non-Eurozone</t>
  </si>
  <si>
    <t>Number of units sold in Non- Eurozone Markets</t>
  </si>
  <si>
    <t>GBP To Euro Average Exchange Rate</t>
  </si>
  <si>
    <t>Revenue Eurozone</t>
  </si>
  <si>
    <t>Total Revenue</t>
  </si>
  <si>
    <t>Sales Growth in Non-Eurozone Markets (number of units)</t>
  </si>
  <si>
    <t>Average Cost of Goods Sold Per Speaker Set</t>
  </si>
  <si>
    <t>Cost of Goods Sold</t>
  </si>
  <si>
    <t>Operating Expenses (% of Revenue)</t>
  </si>
  <si>
    <t>Depreciation &amp; Amortization (% of Revenue)</t>
  </si>
  <si>
    <t>Depreciation &amp; Amortization Per Speaker Set</t>
  </si>
  <si>
    <t>No of Days in Period</t>
  </si>
  <si>
    <t>Long-Term Debt</t>
  </si>
  <si>
    <t>Growth rate(Non-Eurozone)</t>
  </si>
  <si>
    <t>Growth rate (Total)</t>
  </si>
  <si>
    <t>Growth rate (Non-Eurozone)</t>
  </si>
  <si>
    <t>Gross Cost of Debt</t>
  </si>
  <si>
    <t>Using the coupon rate on 10 years note as proxy</t>
  </si>
  <si>
    <t>Effective Tax Rate</t>
  </si>
  <si>
    <t>Cost of Debt Net of Tax Shield</t>
  </si>
  <si>
    <t>Equity Risk Premium in the UK (Jan 2018)</t>
  </si>
  <si>
    <t>Implied Market Return</t>
  </si>
  <si>
    <t>Debt to Equity Ratio</t>
  </si>
  <si>
    <t>Proportion of Debt in Capital</t>
  </si>
  <si>
    <t>Proportion of Equity in Capital</t>
  </si>
  <si>
    <t>WACC</t>
  </si>
  <si>
    <r>
      <t>Discount Rate (</t>
    </r>
    <r>
      <rPr>
        <i/>
        <sz val="12"/>
        <color theme="1"/>
        <rFont val="Arial Narrow"/>
        <family val="2"/>
      </rPr>
      <t>WACC</t>
    </r>
    <r>
      <rPr>
        <sz val="12"/>
        <rFont val="Arial Narrow"/>
        <family val="2"/>
      </rPr>
      <t>)</t>
    </r>
  </si>
  <si>
    <t>Time periods</t>
  </si>
  <si>
    <t>Fiscal Year End</t>
  </si>
  <si>
    <t>Year frac.</t>
  </si>
  <si>
    <t>Valuation Date</t>
  </si>
  <si>
    <t>USD to GBP Conversion Rate</t>
  </si>
  <si>
    <t>Offer Value GBP</t>
  </si>
  <si>
    <t>Offer Value USD</t>
  </si>
  <si>
    <t>Unlevered FCF</t>
  </si>
  <si>
    <t>Net FCFF</t>
  </si>
  <si>
    <t>IRR FCFF</t>
  </si>
  <si>
    <t>Equity Offer</t>
  </si>
  <si>
    <t>Business's Intrinsic Value</t>
  </si>
  <si>
    <t>Equity Value Sensitivity</t>
  </si>
  <si>
    <t>Discount Rate Used (WACC)</t>
  </si>
  <si>
    <t>Charts and Graphs</t>
  </si>
  <si>
    <t>Ratios Analysis</t>
  </si>
  <si>
    <t>Year</t>
  </si>
  <si>
    <t>Gross Profit Ratio</t>
  </si>
  <si>
    <t>Operating Profit Ratio</t>
  </si>
  <si>
    <t>Net Profit Ratio</t>
  </si>
  <si>
    <t>Tax Ratio</t>
  </si>
  <si>
    <t>Interest Coverage Ratio</t>
  </si>
  <si>
    <t>SG&amp;A</t>
  </si>
  <si>
    <t>R&amp;D</t>
  </si>
  <si>
    <t>Unusual Expenses</t>
  </si>
  <si>
    <t>Other</t>
  </si>
  <si>
    <t>Extraordinary Items</t>
  </si>
  <si>
    <t>Quick Ratio</t>
  </si>
  <si>
    <t>Current Ratio</t>
  </si>
  <si>
    <t>Total Asset Turnover Ratio</t>
  </si>
  <si>
    <t>Net Asset Turnover Ratio</t>
  </si>
  <si>
    <t>Days in Period</t>
  </si>
  <si>
    <t>Efficiency</t>
  </si>
  <si>
    <t>Inventory Turnover Ratio</t>
  </si>
  <si>
    <t>Inventory Days</t>
  </si>
  <si>
    <t>Accounts Receivable Ratio</t>
  </si>
  <si>
    <t>Accounts Receivable Days</t>
  </si>
  <si>
    <t>Accounts Payable Ratio</t>
  </si>
  <si>
    <t>Accounts Payable Days</t>
  </si>
  <si>
    <t>PP&amp;E Turnover Ratio</t>
  </si>
  <si>
    <t>Working Capital Turnover</t>
  </si>
  <si>
    <t>Cash Turnover</t>
  </si>
  <si>
    <t>Debt to Equity</t>
  </si>
  <si>
    <t>Debt to Capital</t>
  </si>
  <si>
    <t>Debt to Tangible Net Worth</t>
  </si>
  <si>
    <t>Total Liabilities to Equity</t>
  </si>
  <si>
    <t>Total Assets to Equity</t>
  </si>
  <si>
    <t>Debt to EBITDA</t>
  </si>
  <si>
    <t>Capital Structure Impact</t>
  </si>
  <si>
    <t>Rates of Return</t>
  </si>
  <si>
    <t>Return on Equity</t>
  </si>
  <si>
    <t>Return on Assets</t>
  </si>
  <si>
    <t>Revenue Growth Rate</t>
  </si>
  <si>
    <t>Gross Margin % Growth Rate</t>
  </si>
  <si>
    <t>Net Profit Margin % Growth Rate</t>
  </si>
  <si>
    <t>Operating Expenses as % of Revenue</t>
  </si>
  <si>
    <t>Dep. &amp; Amort. as % of Revenue</t>
  </si>
  <si>
    <t>Interest as % of Revenue</t>
  </si>
  <si>
    <t>Dividend Payout Ratio</t>
  </si>
  <si>
    <t>na</t>
  </si>
  <si>
    <t>Pyramid Analysis</t>
  </si>
  <si>
    <t>Solvency Ratios</t>
  </si>
  <si>
    <t>Liquidity Ratios</t>
  </si>
  <si>
    <t>For the forecast period:</t>
  </si>
  <si>
    <t>Gross Profit Margin</t>
  </si>
  <si>
    <t>PP&amp;E</t>
  </si>
  <si>
    <t>Net Working Capital</t>
  </si>
  <si>
    <t>Total Debt</t>
  </si>
  <si>
    <t>Total Equity</t>
  </si>
  <si>
    <t>Returns on Assets</t>
  </si>
  <si>
    <t>&gt;&gt;</t>
  </si>
  <si>
    <t>Scenario Capacity Utilization in the final forecast year</t>
  </si>
  <si>
    <t>FINANCIAL STATEMENTS &amp; Valuation Model</t>
  </si>
  <si>
    <t>GBP' 000</t>
  </si>
  <si>
    <t>Sales Growth in Eurozone (Volume i.e. number of units)</t>
  </si>
  <si>
    <t>Operating Expenses Less Depreciation Per Speaker Set</t>
  </si>
  <si>
    <t>WACC Assumptions &amp; Calculations</t>
  </si>
  <si>
    <t>References</t>
  </si>
  <si>
    <t>Valuation Assumptions</t>
  </si>
  <si>
    <t>Revenue Non-Eurozone</t>
  </si>
  <si>
    <t>EV/EBITDA Multiple</t>
  </si>
  <si>
    <t>Risk Free Rate in the UK (01 Jan 2018)</t>
  </si>
  <si>
    <t>Beta Calculation</t>
  </si>
  <si>
    <t>Average Unlevered Beta, UK, Jan 2018</t>
  </si>
  <si>
    <t>Levered Beta = Unlevered Beta * ((1 + (1 – Tax Rate) * (Debt / Equity))</t>
  </si>
  <si>
    <t>Levered Beta</t>
  </si>
  <si>
    <t>Cost of Equity</t>
  </si>
  <si>
    <t>-&gt;&gt;</t>
  </si>
  <si>
    <t>Implied Levered Beta</t>
  </si>
  <si>
    <t>EV/EBIT Multiple</t>
  </si>
  <si>
    <t>EV/EBIT</t>
  </si>
  <si>
    <t>Consumer Electronics Industry -&gt;&gt;</t>
  </si>
  <si>
    <t>Offer Evaluation</t>
  </si>
  <si>
    <t>Offer Value</t>
  </si>
  <si>
    <t>Offer Value (Equity)</t>
  </si>
  <si>
    <t>Levered Beta Value Used For Cost of Equity Calculation</t>
  </si>
  <si>
    <t>Equity Values at various combinations of Discount Rate, Exit Multiple, Growth Rate assumption, Debt to Equity Ratio &amp; Beta Value Used in Cost of Equity Calculation.</t>
  </si>
  <si>
    <t>EBITDA Growth Rate</t>
  </si>
  <si>
    <t>EBIT Growth Rate</t>
  </si>
  <si>
    <t>Intrinsic Equity Value</t>
  </si>
  <si>
    <t>Revenue Assumptions</t>
  </si>
  <si>
    <t>Misc. Business Assumptions</t>
  </si>
  <si>
    <t>Maximum Capacity Assumption &gt;&gt;</t>
  </si>
  <si>
    <t>Miscellaneous Assumptions For Creating The Forecast Results</t>
  </si>
  <si>
    <t>Manufacturing Capacity</t>
  </si>
  <si>
    <t>Business Strategy, Underlying Business Model &amp; Capital Structure</t>
  </si>
  <si>
    <t>Revenue &amp; Cost of Sales</t>
  </si>
  <si>
    <t>Financial Statements &amp; Business Valuation Model</t>
  </si>
  <si>
    <t>Buyer's Estimated IRR</t>
  </si>
  <si>
    <t>Net Earnings Margin</t>
  </si>
  <si>
    <t>Equity Upside</t>
  </si>
  <si>
    <t>Hammer &amp; Jason Limited</t>
  </si>
  <si>
    <t>All content is Copyright material of Hammer &amp; Jason Limited.</t>
  </si>
  <si>
    <t>Disclaimer:</t>
  </si>
  <si>
    <t>This is a sample financial model using a factious businesses as an example. The purpose is to demonstrate the quality of ACS financial modeling services. This sample must not be used as a guidance for any investment decisions.</t>
  </si>
  <si>
    <t>Sources for market risk premium should be given here</t>
  </si>
  <si>
    <t>Leverage &amp; Solvency (using book value of equity)</t>
  </si>
  <si>
    <t>Sources for risk free rate should be given here</t>
  </si>
  <si>
    <t>This Excel model has been created for the exclusive use of Hammer &amp; Jason Limited, who is an ACS client.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</si>
</sst>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1" formatCode="_-* #,##0_-;\-* #,##0_-;_-* &quot;-&quot;_-;_-@_-"/>
    <numFmt numFmtId="43" formatCode="_-* #,##0.00_-;\-* #,##0.00_-;_-* &quot;-&quot;??_-;_-@_-"/>
    <numFmt numFmtId="164" formatCode="_(* #,##0.00_);_(* \(#,##0.00\);_(* &quot;-&quot;??_);_(@_)"/>
    <numFmt numFmtId="165" formatCode="_-* #,##0_-;\(#,##0\)_-;_-* &quot;-&quot;_-;_-@_-"/>
    <numFmt numFmtId="166" formatCode="0.0000_ ;\-0.0000\ "/>
    <numFmt numFmtId="167" formatCode="0.0%"/>
    <numFmt numFmtId="168" formatCode="_-* #,##0_-;\-* #,##0_-;_-* &quot;-&quot;??_-;_-@_-"/>
    <numFmt numFmtId="169" formatCode="_(* #,##0_);_(* \(#,##0\);_(* &quot;-&quot;??_);_(@_)"/>
    <numFmt numFmtId="170" formatCode="0.0\x"/>
    <numFmt numFmtId="171" formatCode="_-* #,##0.00_-;\(#,##0.00\)_-;_-* &quot;-&quot;_-;_-@_-"/>
    <numFmt numFmtId="172" formatCode="_-* #,##0.00000_-;\(#,##0.00000\)_-;_-* &quot;-&quot;_-;_-@_-"/>
    <numFmt numFmtId="173" formatCode="_-* #,##0_-;\-* #,##0_-;_-* &quot;-&quot;?_-;_-@_-"/>
    <numFmt numFmtId="174" formatCode="_-* #,##0.00_-;\-* #,##0.00_-;_-* &quot;-&quot;_-;_-@_-"/>
    <numFmt numFmtId="175" formatCode="_-* #,##0.000_-;\-* #,##0.000_-;_-* &quot;-&quot;_-;_-@_-"/>
    <numFmt numFmtId="176" formatCode="_-* #,##0.0000_-;\-* #,##0.0000_-;_-* &quot;-&quot;_-;_-@_-"/>
    <numFmt numFmtId="177" formatCode="_-* #,##0.000_-;\(#,##0.000\)_-;_-* &quot;-&quot;_-;_-@_-"/>
    <numFmt numFmtId="178" formatCode="_-[$GBP]\ * #,##0_-;\-[$GBP]\ * #,##0_-;_-[$GBP]\ * &quot;-&quot;_-;_-@_-"/>
    <numFmt numFmtId="179" formatCode="_-[$USD]\ * #,##0_-;\-[$USD]\ * #,##0_-;_-[$USD]\ * &quot;-&quot;_-;_-@_-"/>
    <numFmt numFmtId="180" formatCode="_-[$GBP]\ * #,##0_-;\-[$GBP]\ * #,##0_-;_-[$GBP]\ * &quot;-&quot;??_-;_-@_-"/>
    <numFmt numFmtId="181" formatCode="_-* #,##0.0_-;\(#,##0.0\)_-;_-* &quot;-&quot;_-;_-@_-"/>
    <numFmt numFmtId="182" formatCode="#&quot;A&quot;"/>
    <numFmt numFmtId="183" formatCode="0.00%;[Red]\(0.00%\);\-"/>
    <numFmt numFmtId="184" formatCode="#,##0.00;[Red]\(#,##0.00\);\-"/>
    <numFmt numFmtId="185" formatCode="0.00;[Red]\(0.00\);\-"/>
    <numFmt numFmtId="186" formatCode="0.00&quot;x&quot;"/>
    <numFmt numFmtId="187" formatCode="0&quot; A&quot;"/>
    <numFmt numFmtId="188" formatCode="0&quot; F&quot;"/>
    <numFmt numFmtId="189" formatCode="_-* #,##0.0_-;\-* #,##0.0_-;_-* &quot;-&quot;_-;_-@_-"/>
  </numFmts>
  <fonts count="60" x14ac:knownFonts="1">
    <font>
      <sz val="11"/>
      <color theme="1"/>
      <name val="Calibri"/>
      <family val="2"/>
      <scheme val="minor"/>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Arial Narrow"/>
      <family val="2"/>
    </font>
    <font>
      <sz val="11"/>
      <color theme="1"/>
      <name val="Calibri"/>
      <family val="2"/>
      <scheme val="minor"/>
    </font>
    <font>
      <sz val="12"/>
      <color theme="1"/>
      <name val="Arial Narrow"/>
      <family val="2"/>
    </font>
    <font>
      <sz val="14"/>
      <color theme="1"/>
      <name val="Arial Narrow"/>
      <family val="2"/>
    </font>
    <font>
      <b/>
      <sz val="14"/>
      <color theme="0"/>
      <name val="Arial Narrow"/>
      <family val="2"/>
    </font>
    <font>
      <b/>
      <sz val="12"/>
      <color theme="1"/>
      <name val="Arial Narrow"/>
      <family val="2"/>
    </font>
    <font>
      <i/>
      <sz val="12"/>
      <color theme="1"/>
      <name val="Arial Narrow"/>
      <family val="2"/>
    </font>
    <font>
      <b/>
      <sz val="12"/>
      <name val="Arial Narrow"/>
      <family val="2"/>
    </font>
    <font>
      <b/>
      <sz val="12"/>
      <color rgb="FF0000FF"/>
      <name val="Arial Narrow"/>
      <family val="2"/>
    </font>
    <font>
      <sz val="12"/>
      <color rgb="FF0000FF"/>
      <name val="Arial Narrow"/>
      <family val="2"/>
    </font>
    <font>
      <sz val="12"/>
      <name val="Arial Narrow"/>
      <family val="2"/>
    </font>
    <font>
      <sz val="12"/>
      <color theme="0"/>
      <name val="Arial Narrow"/>
      <family val="2"/>
    </font>
    <font>
      <sz val="8"/>
      <color theme="0"/>
      <name val="Arial Narrow"/>
      <family val="2"/>
    </font>
    <font>
      <b/>
      <sz val="12"/>
      <color theme="0"/>
      <name val="Arial Narrow"/>
      <family val="2"/>
    </font>
    <font>
      <b/>
      <sz val="16"/>
      <color theme="0"/>
      <name val="Arial Narrow"/>
      <family val="2"/>
    </font>
    <font>
      <b/>
      <sz val="11"/>
      <color theme="1"/>
      <name val="Arial Narrow"/>
      <family val="2"/>
    </font>
    <font>
      <u/>
      <sz val="11"/>
      <color theme="10"/>
      <name val="Calibri"/>
      <family val="2"/>
      <scheme val="minor"/>
    </font>
    <font>
      <b/>
      <sz val="22"/>
      <color theme="1"/>
      <name val="Arial Narrow"/>
      <family val="2"/>
    </font>
    <font>
      <u/>
      <sz val="10"/>
      <color theme="10"/>
      <name val="Arial"/>
      <family val="2"/>
    </font>
    <font>
      <u/>
      <sz val="10"/>
      <color rgb="FF132E57"/>
      <name val="Arial"/>
      <family val="2"/>
    </font>
    <font>
      <b/>
      <sz val="11"/>
      <color theme="0"/>
      <name val="Arial Narrow"/>
      <family val="2"/>
    </font>
    <font>
      <sz val="11"/>
      <color rgb="FFFF0000"/>
      <name val="Arial Narrow"/>
      <family val="2"/>
    </font>
    <font>
      <i/>
      <sz val="12"/>
      <color rgb="FFC00000"/>
      <name val="Arial Narrow"/>
      <family val="2"/>
    </font>
    <font>
      <i/>
      <sz val="11"/>
      <color theme="1"/>
      <name val="Arial Narrow"/>
      <family val="2"/>
    </font>
    <font>
      <i/>
      <sz val="11"/>
      <color theme="0" tint="-0.499984740745262"/>
      <name val="Arial Narrow"/>
      <family val="2"/>
    </font>
    <font>
      <sz val="11"/>
      <color rgb="FF0000FF"/>
      <name val="Arial Narrow"/>
      <family val="2"/>
    </font>
    <font>
      <i/>
      <sz val="11"/>
      <color rgb="FF0000FF"/>
      <name val="Arial Narrow"/>
      <family val="2"/>
    </font>
    <font>
      <sz val="11"/>
      <color theme="0" tint="-0.34998626667073579"/>
      <name val="Arial Narrow"/>
      <family val="2"/>
    </font>
    <font>
      <sz val="12"/>
      <color rgb="FF00B050"/>
      <name val="Arial Narrow"/>
      <family val="2"/>
    </font>
    <font>
      <sz val="9"/>
      <color indexed="81"/>
      <name val="Tahoma"/>
      <family val="2"/>
    </font>
    <font>
      <b/>
      <sz val="9"/>
      <color indexed="81"/>
      <name val="Tahoma"/>
      <family val="2"/>
    </font>
    <font>
      <i/>
      <sz val="12"/>
      <color rgb="FF0000FF"/>
      <name val="Arial Narrow"/>
      <family val="2"/>
    </font>
    <font>
      <sz val="10"/>
      <name val="Arial"/>
      <family val="2"/>
    </font>
    <font>
      <b/>
      <sz val="10"/>
      <name val="Arial"/>
      <family val="2"/>
    </font>
    <font>
      <b/>
      <i/>
      <sz val="12"/>
      <color theme="7" tint="-0.249977111117893"/>
      <name val="Arial Narrow"/>
      <family val="2"/>
    </font>
    <font>
      <b/>
      <i/>
      <sz val="11"/>
      <color theme="5" tint="-0.249977111117893"/>
      <name val="Arial Narrow"/>
      <family val="2"/>
    </font>
    <font>
      <sz val="11"/>
      <color theme="9" tint="-0.249977111117893"/>
      <name val="Arial Narrow"/>
      <family val="2"/>
    </font>
    <font>
      <b/>
      <i/>
      <sz val="16"/>
      <color theme="0"/>
      <name val="Arial Narrow"/>
      <family val="2"/>
    </font>
    <font>
      <sz val="10"/>
      <color theme="1"/>
      <name val="Arial Narrow"/>
      <family val="2"/>
    </font>
    <font>
      <i/>
      <sz val="10"/>
      <color theme="1"/>
      <name val="Arial Narrow"/>
      <family val="2"/>
    </font>
    <font>
      <sz val="11"/>
      <color rgb="FF0000FF"/>
      <name val="Calibri"/>
      <family val="2"/>
      <scheme val="minor"/>
    </font>
    <font>
      <b/>
      <sz val="12"/>
      <color theme="5" tint="-0.249977111117893"/>
      <name val="Arial Narrow"/>
      <family val="2"/>
    </font>
    <font>
      <i/>
      <sz val="12"/>
      <color theme="5" tint="-0.249977111117893"/>
      <name val="Arial Narrow"/>
      <family val="2"/>
    </font>
    <font>
      <b/>
      <i/>
      <sz val="12"/>
      <color theme="5" tint="-0.249977111117893"/>
      <name val="Arial Narrow"/>
      <family val="2"/>
    </font>
    <font>
      <b/>
      <sz val="14"/>
      <color rgb="FF03858A"/>
      <name val="Arial Narrow"/>
      <family val="2"/>
    </font>
    <font>
      <b/>
      <sz val="14"/>
      <color theme="1"/>
      <name val="Arial Narrow"/>
      <family val="2"/>
    </font>
    <font>
      <sz val="11"/>
      <color rgb="FF03858A"/>
      <name val="Arial Narrow"/>
      <family val="2"/>
    </font>
    <font>
      <u/>
      <sz val="10"/>
      <color rgb="FF03858A"/>
      <name val="Arial"/>
      <family val="2"/>
    </font>
    <font>
      <b/>
      <sz val="36"/>
      <color rgb="FF03858A"/>
      <name val="Arial Narrow"/>
      <family val="2"/>
    </font>
    <font>
      <b/>
      <sz val="11"/>
      <color rgb="FF03858A"/>
      <name val="Arial Narrow"/>
      <family val="2"/>
    </font>
    <font>
      <i/>
      <sz val="12"/>
      <color rgb="FF03858A"/>
      <name val="Arial Narrow"/>
      <family val="2"/>
    </font>
    <font>
      <sz val="11"/>
      <color theme="10"/>
      <name val="Calibri"/>
      <family val="2"/>
      <scheme val="minor"/>
    </font>
    <font>
      <i/>
      <sz val="11"/>
      <color theme="10"/>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rgb="FF1E8496"/>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1" tint="0.499984740745262"/>
        <bgColor indexed="64"/>
      </patternFill>
    </fill>
    <fill>
      <patternFill patternType="solid">
        <fgColor theme="1" tint="0.249977111117893"/>
        <bgColor indexed="64"/>
      </patternFill>
    </fill>
    <fill>
      <patternFill patternType="solid">
        <fgColor theme="8" tint="-0.249977111117893"/>
        <bgColor indexed="64"/>
      </patternFill>
    </fill>
    <fill>
      <patternFill patternType="solid">
        <fgColor rgb="FF03858A"/>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1" tint="0.34998626667073579"/>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13">
    <xf numFmtId="0" fontId="0" fillId="0" borderId="0"/>
    <xf numFmtId="43" fontId="8" fillId="0" borderId="0" applyFont="0" applyFill="0" applyBorder="0" applyAlignment="0" applyProtection="0"/>
    <xf numFmtId="9" fontId="8" fillId="0" borderId="0" applyFont="0" applyFill="0" applyBorder="0" applyAlignment="0" applyProtection="0"/>
    <xf numFmtId="164" fontId="7" fillId="0" borderId="0" applyFont="0" applyFill="0" applyBorder="0" applyAlignment="0" applyProtection="0"/>
    <xf numFmtId="0" fontId="23" fillId="0" borderId="0" applyNumberFormat="0" applyFill="0" applyBorder="0" applyAlignment="0" applyProtection="0"/>
    <xf numFmtId="0" fontId="8" fillId="0" borderId="0"/>
    <xf numFmtId="0" fontId="25" fillId="0" borderId="0" applyNumberFormat="0" applyFill="0" applyBorder="0" applyAlignment="0" applyProtection="0"/>
    <xf numFmtId="0" fontId="8" fillId="0" borderId="0"/>
    <xf numFmtId="0" fontId="25" fillId="0" borderId="0" applyNumberForma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0" fontId="39" fillId="0" borderId="0"/>
    <xf numFmtId="0" fontId="39" fillId="0" borderId="0"/>
  </cellStyleXfs>
  <cellXfs count="354">
    <xf numFmtId="0" fontId="0" fillId="0" borderId="0" xfId="0"/>
    <xf numFmtId="169" fontId="9" fillId="0" borderId="0" xfId="1" applyNumberFormat="1" applyFont="1" applyFill="1" applyBorder="1" applyProtection="1">
      <protection locked="0"/>
    </xf>
    <xf numFmtId="169" fontId="9" fillId="0" borderId="0" xfId="1" applyNumberFormat="1" applyFont="1" applyProtection="1">
      <protection locked="0"/>
    </xf>
    <xf numFmtId="165" fontId="9" fillId="0" borderId="2" xfId="1" applyNumberFormat="1" applyFont="1" applyBorder="1" applyProtection="1">
      <protection locked="0"/>
    </xf>
    <xf numFmtId="165" fontId="9" fillId="0" borderId="0" xfId="1" applyNumberFormat="1" applyFont="1" applyFill="1" applyProtection="1">
      <protection locked="0"/>
    </xf>
    <xf numFmtId="165" fontId="9" fillId="0" borderId="0" xfId="1" applyNumberFormat="1" applyFont="1" applyBorder="1" applyProtection="1">
      <protection locked="0"/>
    </xf>
    <xf numFmtId="165" fontId="9" fillId="0" borderId="0" xfId="1" applyNumberFormat="1" applyFont="1" applyProtection="1">
      <protection locked="0"/>
    </xf>
    <xf numFmtId="165" fontId="12" fillId="0" borderId="0" xfId="1" applyNumberFormat="1" applyFont="1" applyProtection="1">
      <protection locked="0"/>
    </xf>
    <xf numFmtId="165" fontId="9" fillId="0" borderId="0" xfId="1" applyNumberFormat="1" applyFont="1" applyAlignment="1" applyProtection="1">
      <alignment horizontal="center"/>
      <protection locked="0"/>
    </xf>
    <xf numFmtId="165" fontId="16" fillId="0" borderId="0" xfId="1" applyNumberFormat="1" applyFont="1" applyProtection="1">
      <protection locked="0"/>
    </xf>
    <xf numFmtId="167" fontId="9" fillId="0" borderId="0" xfId="2" applyNumberFormat="1" applyFont="1" applyAlignment="1" applyProtection="1">
      <alignment horizontal="right"/>
      <protection locked="0"/>
    </xf>
    <xf numFmtId="167" fontId="9" fillId="0" borderId="0" xfId="2" applyNumberFormat="1" applyFont="1" applyProtection="1">
      <protection locked="0"/>
    </xf>
    <xf numFmtId="9" fontId="9" fillId="0" borderId="0" xfId="2" applyFont="1" applyBorder="1" applyProtection="1">
      <protection locked="0"/>
    </xf>
    <xf numFmtId="9" fontId="12" fillId="0" borderId="0" xfId="2" applyFont="1" applyBorder="1" applyAlignment="1" applyProtection="1">
      <alignment horizontal="centerContinuous"/>
      <protection locked="0"/>
    </xf>
    <xf numFmtId="0" fontId="9" fillId="0" borderId="0" xfId="0" applyFont="1" applyBorder="1" applyAlignment="1" applyProtection="1">
      <alignment horizontal="centerContinuous"/>
      <protection locked="0"/>
    </xf>
    <xf numFmtId="0" fontId="9" fillId="0" borderId="0" xfId="0" applyFont="1" applyProtection="1">
      <protection locked="0"/>
    </xf>
    <xf numFmtId="0" fontId="12" fillId="0" borderId="5" xfId="0" applyFont="1" applyBorder="1" applyProtection="1">
      <protection locked="0"/>
    </xf>
    <xf numFmtId="171" fontId="9" fillId="0" borderId="0" xfId="1" applyNumberFormat="1" applyFont="1" applyProtection="1">
      <protection locked="0"/>
    </xf>
    <xf numFmtId="0" fontId="9" fillId="0" borderId="5" xfId="0" applyFont="1" applyBorder="1" applyProtection="1">
      <protection locked="0"/>
    </xf>
    <xf numFmtId="0" fontId="9" fillId="0" borderId="0" xfId="0" applyFont="1" applyBorder="1" applyProtection="1">
      <protection locked="0"/>
    </xf>
    <xf numFmtId="170" fontId="17" fillId="0" borderId="0" xfId="1" applyNumberFormat="1" applyFont="1" applyBorder="1" applyAlignment="1" applyProtection="1">
      <alignment horizontal="center"/>
      <protection locked="0"/>
    </xf>
    <xf numFmtId="165" fontId="12" fillId="0" borderId="0" xfId="1" applyNumberFormat="1" applyFont="1" applyBorder="1" applyAlignment="1" applyProtection="1">
      <alignment horizontal="center"/>
      <protection locked="0"/>
    </xf>
    <xf numFmtId="165" fontId="17" fillId="0" borderId="0" xfId="1" applyNumberFormat="1" applyFont="1" applyProtection="1">
      <protection locked="0"/>
    </xf>
    <xf numFmtId="165" fontId="10" fillId="0" borderId="0" xfId="1" applyNumberFormat="1" applyFont="1" applyAlignment="1" applyProtection="1">
      <protection locked="0"/>
    </xf>
    <xf numFmtId="165" fontId="13" fillId="0" borderId="0" xfId="1" applyNumberFormat="1" applyFont="1" applyAlignment="1" applyProtection="1">
      <alignment horizontal="right"/>
      <protection locked="0"/>
    </xf>
    <xf numFmtId="165" fontId="17" fillId="0" borderId="0" xfId="1" applyNumberFormat="1" applyFont="1" applyFill="1" applyProtection="1">
      <protection locked="0"/>
    </xf>
    <xf numFmtId="165" fontId="16" fillId="0" borderId="0" xfId="1" applyNumberFormat="1" applyFont="1" applyFill="1" applyProtection="1">
      <protection locked="0"/>
    </xf>
    <xf numFmtId="165" fontId="9" fillId="0" borderId="0" xfId="1" applyNumberFormat="1" applyFont="1" applyFill="1" applyBorder="1" applyProtection="1">
      <protection locked="0"/>
    </xf>
    <xf numFmtId="165" fontId="9" fillId="0" borderId="0" xfId="1" applyNumberFormat="1" applyFont="1" applyFill="1" applyBorder="1" applyAlignment="1" applyProtection="1">
      <alignment horizontal="center"/>
      <protection locked="0"/>
    </xf>
    <xf numFmtId="9" fontId="12" fillId="0" borderId="0" xfId="2" applyFont="1" applyFill="1" applyBorder="1" applyProtection="1">
      <protection locked="0"/>
    </xf>
    <xf numFmtId="10" fontId="9" fillId="0" borderId="0" xfId="2" applyNumberFormat="1" applyFont="1" applyFill="1" applyBorder="1" applyProtection="1">
      <protection locked="0"/>
    </xf>
    <xf numFmtId="165" fontId="12" fillId="0" borderId="2" xfId="1" applyNumberFormat="1" applyFont="1" applyBorder="1" applyProtection="1">
      <protection locked="0"/>
    </xf>
    <xf numFmtId="165" fontId="12" fillId="0" borderId="2" xfId="1" applyNumberFormat="1" applyFont="1" applyBorder="1" applyAlignment="1" applyProtection="1">
      <alignment horizontal="center"/>
      <protection locked="0"/>
    </xf>
    <xf numFmtId="165" fontId="9" fillId="0" borderId="0" xfId="1" applyNumberFormat="1" applyFont="1" applyBorder="1" applyAlignment="1" applyProtection="1">
      <alignment horizontal="center"/>
      <protection locked="0"/>
    </xf>
    <xf numFmtId="167" fontId="17" fillId="0" borderId="0" xfId="2" applyNumberFormat="1" applyFont="1" applyFill="1" applyBorder="1" applyProtection="1">
      <protection locked="0"/>
    </xf>
    <xf numFmtId="167" fontId="16" fillId="0" borderId="0" xfId="2" applyNumberFormat="1" applyFont="1" applyFill="1" applyBorder="1" applyProtection="1">
      <protection locked="0"/>
    </xf>
    <xf numFmtId="165" fontId="13" fillId="0" borderId="0" xfId="1" applyNumberFormat="1" applyFont="1" applyBorder="1" applyProtection="1">
      <protection locked="0"/>
    </xf>
    <xf numFmtId="165" fontId="13" fillId="0" borderId="0" xfId="1" applyNumberFormat="1" applyFont="1" applyBorder="1" applyAlignment="1" applyProtection="1">
      <alignment horizontal="center"/>
      <protection locked="0"/>
    </xf>
    <xf numFmtId="9" fontId="16" fillId="0" borderId="0" xfId="2" applyFont="1" applyFill="1" applyAlignment="1" applyProtection="1">
      <alignment horizontal="center"/>
      <protection locked="0"/>
    </xf>
    <xf numFmtId="165" fontId="12" fillId="0" borderId="0" xfId="1" applyNumberFormat="1" applyFont="1" applyBorder="1" applyProtection="1">
      <protection locked="0"/>
    </xf>
    <xf numFmtId="165" fontId="15" fillId="0" borderId="0" xfId="1" applyNumberFormat="1" applyFont="1" applyBorder="1" applyProtection="1">
      <protection locked="0"/>
    </xf>
    <xf numFmtId="165" fontId="14" fillId="0" borderId="0" xfId="1" applyNumberFormat="1" applyFont="1" applyBorder="1" applyProtection="1">
      <protection locked="0"/>
    </xf>
    <xf numFmtId="165" fontId="12" fillId="0" borderId="0" xfId="1" applyNumberFormat="1" applyFont="1" applyAlignment="1" applyProtection="1">
      <alignment horizontal="center"/>
      <protection locked="0"/>
    </xf>
    <xf numFmtId="165" fontId="14" fillId="0" borderId="2" xfId="1" applyNumberFormat="1" applyFont="1" applyBorder="1" applyProtection="1">
      <protection locked="0"/>
    </xf>
    <xf numFmtId="165" fontId="9" fillId="0" borderId="1" xfId="1" applyNumberFormat="1" applyFont="1" applyBorder="1" applyProtection="1">
      <protection locked="0"/>
    </xf>
    <xf numFmtId="165" fontId="9" fillId="0" borderId="1" xfId="1" applyNumberFormat="1" applyFont="1" applyBorder="1" applyAlignment="1" applyProtection="1">
      <alignment horizontal="center"/>
      <protection locked="0"/>
    </xf>
    <xf numFmtId="165" fontId="12" fillId="0" borderId="4" xfId="1" applyNumberFormat="1" applyFont="1" applyBorder="1" applyProtection="1">
      <protection locked="0"/>
    </xf>
    <xf numFmtId="165" fontId="12" fillId="0" borderId="4" xfId="1" applyNumberFormat="1" applyFont="1" applyBorder="1" applyAlignment="1" applyProtection="1">
      <alignment horizontal="center"/>
      <protection locked="0"/>
    </xf>
    <xf numFmtId="165" fontId="14" fillId="0" borderId="4" xfId="1" applyNumberFormat="1" applyFont="1" applyBorder="1" applyProtection="1">
      <protection locked="0"/>
    </xf>
    <xf numFmtId="0" fontId="0" fillId="0" borderId="0" xfId="0" applyProtection="1">
      <protection locked="0"/>
    </xf>
    <xf numFmtId="165" fontId="12" fillId="0" borderId="3" xfId="1" applyNumberFormat="1" applyFont="1" applyBorder="1" applyProtection="1">
      <protection locked="0"/>
    </xf>
    <xf numFmtId="165" fontId="12" fillId="0" borderId="3" xfId="1" applyNumberFormat="1" applyFont="1" applyBorder="1" applyAlignment="1" applyProtection="1">
      <alignment horizontal="center"/>
      <protection locked="0"/>
    </xf>
    <xf numFmtId="165" fontId="13" fillId="0" borderId="0" xfId="1" applyNumberFormat="1" applyFont="1" applyProtection="1">
      <protection locked="0"/>
    </xf>
    <xf numFmtId="166" fontId="13" fillId="0" borderId="0" xfId="1" applyNumberFormat="1" applyFont="1" applyProtection="1">
      <protection locked="0"/>
    </xf>
    <xf numFmtId="166" fontId="13" fillId="0" borderId="0" xfId="1" applyNumberFormat="1" applyFont="1" applyAlignment="1" applyProtection="1">
      <alignment horizontal="center"/>
      <protection locked="0"/>
    </xf>
    <xf numFmtId="165" fontId="9" fillId="0" borderId="2" xfId="1" applyNumberFormat="1" applyFont="1" applyBorder="1" applyAlignment="1" applyProtection="1">
      <alignment horizontal="center"/>
      <protection locked="0"/>
    </xf>
    <xf numFmtId="165" fontId="17" fillId="0" borderId="0" xfId="1" applyNumberFormat="1" applyFont="1" applyBorder="1" applyProtection="1">
      <protection locked="0"/>
    </xf>
    <xf numFmtId="165" fontId="17" fillId="0" borderId="2" xfId="1" applyNumberFormat="1" applyFont="1" applyBorder="1" applyProtection="1">
      <protection locked="0"/>
    </xf>
    <xf numFmtId="165" fontId="14" fillId="0" borderId="0" xfId="1" applyNumberFormat="1" applyFont="1" applyProtection="1">
      <protection locked="0"/>
    </xf>
    <xf numFmtId="165" fontId="16" fillId="0" borderId="2" xfId="1" applyNumberFormat="1" applyFont="1" applyBorder="1" applyProtection="1">
      <protection locked="0"/>
    </xf>
    <xf numFmtId="9" fontId="16" fillId="0" borderId="2" xfId="2" applyFont="1" applyBorder="1" applyAlignment="1" applyProtection="1">
      <alignment horizontal="right"/>
      <protection locked="0"/>
    </xf>
    <xf numFmtId="14" fontId="16" fillId="0" borderId="0" xfId="1" applyNumberFormat="1" applyFont="1" applyProtection="1">
      <protection locked="0"/>
    </xf>
    <xf numFmtId="168" fontId="16" fillId="0" borderId="0" xfId="1" applyNumberFormat="1" applyFont="1" applyAlignment="1" applyProtection="1">
      <alignment horizontal="right"/>
      <protection locked="0"/>
    </xf>
    <xf numFmtId="165" fontId="9" fillId="2" borderId="2" xfId="1" applyNumberFormat="1" applyFont="1" applyFill="1" applyBorder="1" applyProtection="1">
      <protection locked="0"/>
    </xf>
    <xf numFmtId="14" fontId="13" fillId="0" borderId="0" xfId="1" applyNumberFormat="1" applyFont="1" applyBorder="1" applyProtection="1">
      <protection locked="0"/>
    </xf>
    <xf numFmtId="169" fontId="9" fillId="0" borderId="2" xfId="1" applyNumberFormat="1" applyFont="1" applyBorder="1" applyProtection="1">
      <protection locked="0"/>
    </xf>
    <xf numFmtId="165" fontId="9" fillId="0" borderId="0" xfId="1" applyNumberFormat="1" applyFont="1" applyProtection="1"/>
    <xf numFmtId="165" fontId="17" fillId="0" borderId="2" xfId="1" applyNumberFormat="1" applyFont="1" applyBorder="1" applyProtection="1"/>
    <xf numFmtId="165" fontId="17" fillId="0" borderId="0" xfId="1" applyNumberFormat="1" applyFont="1" applyFill="1" applyProtection="1"/>
    <xf numFmtId="165" fontId="9" fillId="0" borderId="2" xfId="1" applyNumberFormat="1" applyFont="1" applyBorder="1" applyProtection="1"/>
    <xf numFmtId="165" fontId="20" fillId="3" borderId="0" xfId="1" applyNumberFormat="1" applyFont="1" applyFill="1" applyAlignment="1" applyProtection="1">
      <alignment horizontal="centerContinuous"/>
      <protection locked="0"/>
    </xf>
    <xf numFmtId="165" fontId="18" fillId="3" borderId="0" xfId="1" applyNumberFormat="1" applyFont="1" applyFill="1" applyAlignment="1" applyProtection="1">
      <alignment horizontal="centerContinuous"/>
      <protection locked="0"/>
    </xf>
    <xf numFmtId="0" fontId="11" fillId="3" borderId="0" xfId="1" applyNumberFormat="1" applyFont="1" applyFill="1" applyAlignment="1" applyProtection="1">
      <protection locked="0"/>
    </xf>
    <xf numFmtId="0" fontId="7" fillId="6" borderId="0" xfId="5" applyFont="1" applyFill="1" applyBorder="1"/>
    <xf numFmtId="0" fontId="24" fillId="6" borderId="0" xfId="5" applyFont="1" applyFill="1" applyBorder="1" applyProtection="1">
      <protection locked="0"/>
    </xf>
    <xf numFmtId="0" fontId="22" fillId="6" borderId="0" xfId="5" applyFont="1" applyFill="1" applyBorder="1" applyAlignment="1">
      <alignment horizontal="right"/>
    </xf>
    <xf numFmtId="0" fontId="7" fillId="6" borderId="0" xfId="5" applyFont="1" applyFill="1" applyBorder="1" applyProtection="1">
      <protection locked="0"/>
    </xf>
    <xf numFmtId="0" fontId="22" fillId="6" borderId="0" xfId="5" applyFont="1" applyFill="1" applyBorder="1" applyProtection="1">
      <protection locked="0"/>
    </xf>
    <xf numFmtId="0" fontId="26" fillId="6" borderId="0" xfId="6" applyFont="1" applyFill="1" applyBorder="1" applyProtection="1">
      <protection locked="0"/>
    </xf>
    <xf numFmtId="0" fontId="7" fillId="6" borderId="0" xfId="7" applyFont="1" applyFill="1" applyBorder="1"/>
    <xf numFmtId="165" fontId="29" fillId="0" borderId="0" xfId="1" applyNumberFormat="1" applyFont="1" applyBorder="1" applyProtection="1">
      <protection locked="0"/>
    </xf>
    <xf numFmtId="165" fontId="16" fillId="2" borderId="0" xfId="1" applyNumberFormat="1" applyFont="1" applyFill="1" applyProtection="1">
      <protection locked="0"/>
    </xf>
    <xf numFmtId="167" fontId="9" fillId="0" borderId="0" xfId="2" applyNumberFormat="1" applyFont="1" applyFill="1" applyBorder="1" applyProtection="1">
      <protection locked="0"/>
    </xf>
    <xf numFmtId="165" fontId="13" fillId="0" borderId="0" xfId="1" applyNumberFormat="1" applyFont="1" applyAlignment="1" applyProtection="1">
      <alignment horizontal="center"/>
      <protection locked="0"/>
    </xf>
    <xf numFmtId="172" fontId="13" fillId="0" borderId="0" xfId="1" applyNumberFormat="1" applyFont="1" applyProtection="1">
      <protection locked="0"/>
    </xf>
    <xf numFmtId="165" fontId="9" fillId="2" borderId="0" xfId="1" applyNumberFormat="1" applyFont="1" applyFill="1" applyProtection="1">
      <protection locked="0"/>
    </xf>
    <xf numFmtId="165" fontId="14" fillId="2" borderId="2" xfId="1" applyNumberFormat="1" applyFont="1" applyFill="1" applyBorder="1" applyProtection="1">
      <protection locked="0"/>
    </xf>
    <xf numFmtId="165" fontId="15" fillId="2" borderId="0" xfId="1" applyNumberFormat="1" applyFont="1" applyFill="1" applyBorder="1" applyProtection="1">
      <protection locked="0"/>
    </xf>
    <xf numFmtId="165" fontId="16" fillId="2" borderId="0" xfId="1" applyNumberFormat="1" applyFont="1" applyFill="1" applyBorder="1" applyProtection="1">
      <protection locked="0"/>
    </xf>
    <xf numFmtId="165" fontId="9" fillId="2" borderId="0" xfId="1" applyNumberFormat="1" applyFont="1" applyFill="1" applyBorder="1" applyProtection="1">
      <protection locked="0"/>
    </xf>
    <xf numFmtId="165" fontId="17" fillId="2" borderId="0" xfId="1" applyNumberFormat="1" applyFont="1" applyFill="1" applyBorder="1" applyProtection="1">
      <protection locked="0"/>
    </xf>
    <xf numFmtId="0" fontId="6" fillId="0" borderId="0" xfId="0" applyFont="1"/>
    <xf numFmtId="0" fontId="6" fillId="0" borderId="0" xfId="0" applyFont="1" applyAlignment="1">
      <alignment horizontal="left" indent="1"/>
    </xf>
    <xf numFmtId="41" fontId="6" fillId="0" borderId="0" xfId="0" applyNumberFormat="1" applyFont="1"/>
    <xf numFmtId="0" fontId="6" fillId="0" borderId="0" xfId="0" applyFont="1" applyBorder="1"/>
    <xf numFmtId="0" fontId="6" fillId="0" borderId="0" xfId="0" applyFont="1" applyBorder="1" applyAlignment="1">
      <alignment horizontal="left" indent="1"/>
    </xf>
    <xf numFmtId="0" fontId="30" fillId="0" borderId="0" xfId="0" applyFont="1" applyAlignment="1">
      <alignment horizontal="left" indent="2"/>
    </xf>
    <xf numFmtId="0" fontId="31" fillId="0" borderId="0" xfId="0" applyFont="1"/>
    <xf numFmtId="0" fontId="31" fillId="2" borderId="0" xfId="0" applyFont="1" applyFill="1" applyAlignment="1">
      <alignment horizontal="left" indent="2"/>
    </xf>
    <xf numFmtId="0" fontId="31" fillId="2" borderId="0" xfId="0" applyFont="1" applyFill="1"/>
    <xf numFmtId="41" fontId="31" fillId="2" borderId="0" xfId="9" applyFont="1" applyFill="1"/>
    <xf numFmtId="167" fontId="31" fillId="2" borderId="0" xfId="2" applyNumberFormat="1" applyFont="1" applyFill="1"/>
    <xf numFmtId="167" fontId="31" fillId="2" borderId="0" xfId="2" applyNumberFormat="1" applyFont="1" applyFill="1" applyAlignment="1">
      <alignment horizontal="right"/>
    </xf>
    <xf numFmtId="0" fontId="22" fillId="0" borderId="4" xfId="0" applyFont="1" applyBorder="1" applyAlignment="1">
      <alignment horizontal="left" indent="1"/>
    </xf>
    <xf numFmtId="0" fontId="22" fillId="0" borderId="4" xfId="0" applyFont="1" applyBorder="1"/>
    <xf numFmtId="41" fontId="22" fillId="0" borderId="4" xfId="0" applyNumberFormat="1" applyFont="1" applyBorder="1"/>
    <xf numFmtId="0" fontId="30" fillId="0" borderId="0" xfId="0" applyFont="1" applyAlignment="1">
      <alignment horizontal="left" indent="1"/>
    </xf>
    <xf numFmtId="41" fontId="32" fillId="0" borderId="0" xfId="9" applyFont="1"/>
    <xf numFmtId="41" fontId="32" fillId="0" borderId="0" xfId="9" applyFont="1" applyBorder="1"/>
    <xf numFmtId="167" fontId="33" fillId="0" borderId="0" xfId="0" applyNumberFormat="1" applyFont="1"/>
    <xf numFmtId="167" fontId="33" fillId="0" borderId="0" xfId="2" applyNumberFormat="1" applyFont="1"/>
    <xf numFmtId="173" fontId="6" fillId="0" borderId="0" xfId="0" applyNumberFormat="1" applyFont="1"/>
    <xf numFmtId="0" fontId="6" fillId="2" borderId="0" xfId="0" applyFont="1" applyFill="1"/>
    <xf numFmtId="0" fontId="34" fillId="0" borderId="0" xfId="0" applyFont="1"/>
    <xf numFmtId="0" fontId="34" fillId="0" borderId="0" xfId="0" applyFont="1" applyAlignment="1">
      <alignment horizontal="center"/>
    </xf>
    <xf numFmtId="0" fontId="22" fillId="0" borderId="0" xfId="0" applyFont="1" applyBorder="1" applyAlignment="1">
      <alignment horizontal="left" indent="1"/>
    </xf>
    <xf numFmtId="0" fontId="6" fillId="0" borderId="2" xfId="0" applyFont="1" applyBorder="1"/>
    <xf numFmtId="0" fontId="5" fillId="0" borderId="0" xfId="0" applyFont="1"/>
    <xf numFmtId="0" fontId="30" fillId="0" borderId="0" xfId="0" applyFont="1" applyAlignment="1">
      <alignment horizontal="left"/>
    </xf>
    <xf numFmtId="167" fontId="31" fillId="0" borderId="0" xfId="0" applyNumberFormat="1" applyFont="1"/>
    <xf numFmtId="41" fontId="9" fillId="0" borderId="0" xfId="9" applyFont="1" applyFill="1" applyBorder="1" applyProtection="1">
      <protection locked="0"/>
    </xf>
    <xf numFmtId="41" fontId="35" fillId="0" borderId="0" xfId="9" applyFont="1" applyFill="1" applyBorder="1" applyProtection="1">
      <protection locked="0"/>
    </xf>
    <xf numFmtId="41" fontId="16" fillId="0" borderId="0" xfId="9" applyFont="1" applyFill="1" applyBorder="1" applyProtection="1">
      <protection locked="0"/>
    </xf>
    <xf numFmtId="165" fontId="9" fillId="4" borderId="0" xfId="1" applyNumberFormat="1" applyFont="1" applyFill="1" applyProtection="1">
      <protection locked="0"/>
    </xf>
    <xf numFmtId="165" fontId="9" fillId="4" borderId="0" xfId="1" applyNumberFormat="1" applyFont="1" applyFill="1" applyBorder="1" applyProtection="1">
      <protection locked="0"/>
    </xf>
    <xf numFmtId="165" fontId="9" fillId="4" borderId="0" xfId="1" applyNumberFormat="1" applyFont="1" applyFill="1" applyBorder="1" applyAlignment="1" applyProtection="1">
      <alignment horizontal="center"/>
      <protection locked="0"/>
    </xf>
    <xf numFmtId="167" fontId="35" fillId="0" borderId="0" xfId="2" applyNumberFormat="1" applyFont="1" applyFill="1" applyBorder="1" applyProtection="1">
      <protection locked="0"/>
    </xf>
    <xf numFmtId="165" fontId="9" fillId="0" borderId="2" xfId="1" applyNumberFormat="1" applyFont="1" applyFill="1" applyBorder="1" applyProtection="1">
      <protection locked="0"/>
    </xf>
    <xf numFmtId="165" fontId="9" fillId="0" borderId="2" xfId="1" applyNumberFormat="1" applyFont="1" applyFill="1" applyBorder="1" applyAlignment="1" applyProtection="1">
      <alignment horizontal="center"/>
      <protection locked="0"/>
    </xf>
    <xf numFmtId="9" fontId="12" fillId="0" borderId="2" xfId="2" applyFont="1" applyFill="1" applyBorder="1" applyProtection="1">
      <protection locked="0"/>
    </xf>
    <xf numFmtId="10" fontId="35" fillId="0" borderId="2" xfId="2" applyNumberFormat="1" applyFont="1" applyFill="1" applyBorder="1" applyProtection="1">
      <protection locked="0"/>
    </xf>
    <xf numFmtId="174" fontId="16" fillId="0" borderId="0" xfId="9" applyNumberFormat="1" applyFont="1" applyFill="1" applyBorder="1" applyProtection="1">
      <protection locked="0"/>
    </xf>
    <xf numFmtId="41" fontId="12" fillId="0" borderId="0" xfId="9" applyFont="1" applyFill="1" applyBorder="1" applyProtection="1">
      <protection locked="0"/>
    </xf>
    <xf numFmtId="41" fontId="15" fillId="0" borderId="0" xfId="9" applyFont="1" applyFill="1" applyBorder="1" applyProtection="1">
      <protection locked="0"/>
    </xf>
    <xf numFmtId="41" fontId="35" fillId="0" borderId="0" xfId="9" applyNumberFormat="1" applyFont="1" applyFill="1" applyBorder="1" applyProtection="1">
      <protection locked="0"/>
    </xf>
    <xf numFmtId="165" fontId="12" fillId="0" borderId="0" xfId="1" applyNumberFormat="1" applyFont="1" applyFill="1" applyBorder="1" applyProtection="1">
      <protection locked="0"/>
    </xf>
    <xf numFmtId="165" fontId="12" fillId="0" borderId="0" xfId="1" applyNumberFormat="1" applyFont="1" applyFill="1" applyBorder="1" applyAlignment="1" applyProtection="1">
      <alignment horizontal="center"/>
      <protection locked="0"/>
    </xf>
    <xf numFmtId="165" fontId="14" fillId="0" borderId="0" xfId="1" applyNumberFormat="1" applyFont="1" applyFill="1" applyBorder="1" applyProtection="1">
      <protection locked="0"/>
    </xf>
    <xf numFmtId="165" fontId="29" fillId="0" borderId="0" xfId="1" applyNumberFormat="1" applyFont="1" applyProtection="1">
      <protection locked="0"/>
    </xf>
    <xf numFmtId="177" fontId="9" fillId="0" borderId="0" xfId="1" applyNumberFormat="1" applyFont="1" applyFill="1" applyBorder="1" applyProtection="1">
      <protection locked="0"/>
    </xf>
    <xf numFmtId="177" fontId="16" fillId="0" borderId="0" xfId="9" applyNumberFormat="1" applyFont="1" applyFill="1" applyBorder="1" applyProtection="1">
      <protection locked="0"/>
    </xf>
    <xf numFmtId="177" fontId="16" fillId="0" borderId="0" xfId="1" applyNumberFormat="1" applyFont="1" applyFill="1" applyBorder="1" applyProtection="1">
      <protection locked="0"/>
    </xf>
    <xf numFmtId="175" fontId="16" fillId="0" borderId="0" xfId="9" applyNumberFormat="1" applyFont="1" applyFill="1" applyBorder="1" applyProtection="1">
      <protection locked="0"/>
    </xf>
    <xf numFmtId="176" fontId="16" fillId="0" borderId="0" xfId="9" applyNumberFormat="1" applyFont="1" applyFill="1" applyBorder="1" applyProtection="1">
      <protection locked="0"/>
    </xf>
    <xf numFmtId="175" fontId="9" fillId="0" borderId="0" xfId="9" applyNumberFormat="1" applyFont="1" applyFill="1" applyBorder="1" applyProtection="1">
      <protection locked="0"/>
    </xf>
    <xf numFmtId="176" fontId="9" fillId="0" borderId="0" xfId="9" applyNumberFormat="1" applyFont="1" applyFill="1" applyBorder="1" applyProtection="1">
      <protection locked="0"/>
    </xf>
    <xf numFmtId="10" fontId="9" fillId="0" borderId="2" xfId="2" applyNumberFormat="1" applyFont="1" applyFill="1" applyBorder="1" applyProtection="1">
      <protection locked="0"/>
    </xf>
    <xf numFmtId="41" fontId="9" fillId="0" borderId="0" xfId="9" applyNumberFormat="1" applyFont="1" applyFill="1" applyBorder="1" applyProtection="1">
      <protection locked="0"/>
    </xf>
    <xf numFmtId="177" fontId="9" fillId="0" borderId="0" xfId="9" applyNumberFormat="1" applyFont="1" applyFill="1" applyBorder="1" applyProtection="1">
      <protection locked="0"/>
    </xf>
    <xf numFmtId="174" fontId="9" fillId="0" borderId="0" xfId="9" applyNumberFormat="1" applyFont="1" applyFill="1" applyBorder="1" applyProtection="1">
      <protection locked="0"/>
    </xf>
    <xf numFmtId="9" fontId="12" fillId="2" borderId="2" xfId="2" applyFont="1" applyFill="1" applyBorder="1" applyProtection="1">
      <protection locked="0"/>
    </xf>
    <xf numFmtId="9" fontId="12" fillId="2" borderId="0" xfId="2" applyFont="1" applyFill="1" applyBorder="1" applyProtection="1">
      <protection locked="0"/>
    </xf>
    <xf numFmtId="41" fontId="17" fillId="0" borderId="0" xfId="9" applyFont="1" applyFill="1" applyProtection="1">
      <protection locked="0"/>
    </xf>
    <xf numFmtId="177" fontId="9" fillId="0" borderId="0" xfId="1" applyNumberFormat="1" applyFont="1" applyProtection="1">
      <protection locked="0"/>
    </xf>
    <xf numFmtId="165" fontId="20" fillId="9" borderId="0" xfId="1" applyNumberFormat="1" applyFont="1" applyFill="1" applyAlignment="1" applyProtection="1">
      <alignment horizontal="centerContinuous"/>
      <protection locked="0"/>
    </xf>
    <xf numFmtId="165" fontId="18" fillId="9" borderId="0" xfId="1" applyNumberFormat="1" applyFont="1" applyFill="1" applyAlignment="1" applyProtection="1">
      <alignment horizontal="centerContinuous"/>
      <protection locked="0"/>
    </xf>
    <xf numFmtId="0" fontId="11" fillId="9" borderId="0" xfId="1" applyNumberFormat="1" applyFont="1" applyFill="1" applyAlignment="1" applyProtection="1">
      <protection locked="0"/>
    </xf>
    <xf numFmtId="10" fontId="15" fillId="2" borderId="0" xfId="2" applyNumberFormat="1" applyFont="1" applyFill="1" applyBorder="1" applyProtection="1">
      <protection locked="0"/>
    </xf>
    <xf numFmtId="165" fontId="12" fillId="2" borderId="0" xfId="1" applyNumberFormat="1" applyFont="1" applyFill="1" applyProtection="1">
      <protection locked="0"/>
    </xf>
    <xf numFmtId="9" fontId="15" fillId="2" borderId="0" xfId="2" applyFont="1" applyFill="1" applyBorder="1" applyProtection="1">
      <protection locked="0"/>
    </xf>
    <xf numFmtId="165" fontId="9" fillId="2" borderId="1" xfId="1" applyNumberFormat="1" applyFont="1" applyFill="1" applyBorder="1" applyProtection="1">
      <protection locked="0"/>
    </xf>
    <xf numFmtId="165" fontId="14" fillId="2" borderId="0" xfId="1" applyNumberFormat="1" applyFont="1" applyFill="1" applyBorder="1" applyProtection="1">
      <protection locked="0"/>
    </xf>
    <xf numFmtId="165" fontId="14" fillId="2" borderId="4" xfId="1" applyNumberFormat="1" applyFont="1" applyFill="1" applyBorder="1" applyProtection="1">
      <protection locked="0"/>
    </xf>
    <xf numFmtId="165" fontId="15" fillId="0" borderId="0" xfId="1" applyNumberFormat="1" applyFont="1" applyFill="1" applyBorder="1" applyProtection="1">
      <protection locked="0"/>
    </xf>
    <xf numFmtId="10" fontId="15" fillId="0" borderId="0" xfId="2" applyNumberFormat="1" applyFont="1" applyFill="1" applyBorder="1" applyProtection="1">
      <protection locked="0"/>
    </xf>
    <xf numFmtId="177" fontId="16" fillId="2" borderId="0" xfId="1" applyNumberFormat="1" applyFont="1" applyFill="1" applyProtection="1">
      <protection locked="0"/>
    </xf>
    <xf numFmtId="177" fontId="9" fillId="2" borderId="0" xfId="1" applyNumberFormat="1" applyFont="1" applyFill="1" applyProtection="1">
      <protection locked="0"/>
    </xf>
    <xf numFmtId="165" fontId="14" fillId="2" borderId="3" xfId="1" applyNumberFormat="1" applyFont="1" applyFill="1" applyBorder="1" applyProtection="1">
      <protection locked="0"/>
    </xf>
    <xf numFmtId="165" fontId="16" fillId="4" borderId="0" xfId="1" applyNumberFormat="1" applyFont="1" applyFill="1" applyProtection="1">
      <protection locked="0"/>
    </xf>
    <xf numFmtId="165" fontId="14" fillId="4" borderId="2" xfId="1" applyNumberFormat="1" applyFont="1" applyFill="1" applyBorder="1" applyProtection="1">
      <protection locked="0"/>
    </xf>
    <xf numFmtId="165" fontId="15" fillId="4" borderId="0" xfId="1" applyNumberFormat="1" applyFont="1" applyFill="1" applyBorder="1" applyProtection="1">
      <protection locked="0"/>
    </xf>
    <xf numFmtId="165" fontId="16" fillId="4" borderId="0" xfId="1" applyNumberFormat="1" applyFont="1" applyFill="1" applyBorder="1" applyProtection="1">
      <protection locked="0"/>
    </xf>
    <xf numFmtId="165" fontId="17" fillId="4" borderId="0" xfId="1" applyNumberFormat="1" applyFont="1" applyFill="1" applyBorder="1" applyProtection="1">
      <protection locked="0"/>
    </xf>
    <xf numFmtId="165" fontId="9" fillId="4" borderId="2" xfId="1" applyNumberFormat="1" applyFont="1" applyFill="1" applyBorder="1" applyProtection="1">
      <protection locked="0"/>
    </xf>
    <xf numFmtId="165" fontId="17" fillId="2" borderId="2" xfId="1" applyNumberFormat="1" applyFont="1" applyFill="1" applyBorder="1" applyProtection="1">
      <protection locked="0"/>
    </xf>
    <xf numFmtId="165" fontId="17" fillId="2" borderId="0" xfId="1" applyNumberFormat="1" applyFont="1" applyFill="1" applyProtection="1">
      <protection locked="0"/>
    </xf>
    <xf numFmtId="165" fontId="19" fillId="8" borderId="0" xfId="1" applyNumberFormat="1" applyFont="1" applyFill="1" applyProtection="1">
      <protection locked="0"/>
    </xf>
    <xf numFmtId="165" fontId="9" fillId="8" borderId="0" xfId="1" applyNumberFormat="1" applyFont="1" applyFill="1" applyProtection="1">
      <protection locked="0"/>
    </xf>
    <xf numFmtId="165" fontId="9" fillId="8" borderId="0" xfId="1" applyNumberFormat="1" applyFont="1" applyFill="1" applyAlignment="1" applyProtection="1">
      <alignment horizontal="center"/>
      <protection locked="0"/>
    </xf>
    <xf numFmtId="165" fontId="21" fillId="8" borderId="0" xfId="1" applyNumberFormat="1" applyFont="1" applyFill="1" applyAlignment="1" applyProtection="1">
      <protection locked="0"/>
    </xf>
    <xf numFmtId="165" fontId="11" fillId="8" borderId="0" xfId="1" applyNumberFormat="1" applyFont="1" applyFill="1" applyAlignment="1" applyProtection="1">
      <protection locked="0"/>
    </xf>
    <xf numFmtId="165" fontId="11" fillId="8" borderId="0" xfId="1" applyNumberFormat="1" applyFont="1" applyFill="1" applyAlignment="1" applyProtection="1">
      <alignment horizontal="center"/>
      <protection locked="0"/>
    </xf>
    <xf numFmtId="0" fontId="4" fillId="0" borderId="0" xfId="0" applyFont="1"/>
    <xf numFmtId="170" fontId="16" fillId="0" borderId="0" xfId="1" applyNumberFormat="1" applyFont="1" applyFill="1" applyAlignment="1" applyProtection="1">
      <alignment horizontal="right"/>
      <protection locked="0"/>
    </xf>
    <xf numFmtId="0" fontId="38" fillId="0" borderId="0" xfId="10" applyNumberFormat="1" applyFont="1" applyBorder="1" applyProtection="1">
      <protection locked="0"/>
    </xf>
    <xf numFmtId="174" fontId="13" fillId="0" borderId="0" xfId="9" applyNumberFormat="1" applyFont="1" applyBorder="1" applyProtection="1">
      <protection locked="0"/>
    </xf>
    <xf numFmtId="169" fontId="9" fillId="0" borderId="0" xfId="10" applyNumberFormat="1" applyFont="1" applyBorder="1" applyProtection="1">
      <protection locked="0"/>
    </xf>
    <xf numFmtId="178" fontId="9" fillId="0" borderId="0" xfId="1" applyNumberFormat="1" applyFont="1" applyProtection="1">
      <protection locked="0"/>
    </xf>
    <xf numFmtId="179" fontId="16" fillId="0" borderId="0" xfId="9" applyNumberFormat="1" applyFont="1" applyProtection="1">
      <protection locked="0"/>
    </xf>
    <xf numFmtId="171" fontId="38" fillId="0" borderId="0" xfId="1" applyNumberFormat="1" applyFont="1" applyProtection="1">
      <protection locked="0"/>
    </xf>
    <xf numFmtId="180" fontId="12" fillId="4" borderId="0" xfId="9" applyNumberFormat="1" applyFont="1" applyFill="1" applyProtection="1">
      <protection locked="0"/>
    </xf>
    <xf numFmtId="165" fontId="9" fillId="0" borderId="0" xfId="1" applyNumberFormat="1" applyFont="1" applyFill="1" applyAlignment="1" applyProtection="1">
      <alignment horizontal="center"/>
      <protection locked="0"/>
    </xf>
    <xf numFmtId="168" fontId="9" fillId="0" borderId="2" xfId="2" applyNumberFormat="1" applyFont="1" applyBorder="1" applyProtection="1">
      <protection locked="0"/>
    </xf>
    <xf numFmtId="168" fontId="9" fillId="0" borderId="0" xfId="1" applyNumberFormat="1" applyFont="1" applyAlignment="1" applyProtection="1">
      <alignment horizontal="left"/>
      <protection locked="0"/>
    </xf>
    <xf numFmtId="0" fontId="20" fillId="10" borderId="0" xfId="0" applyFont="1" applyFill="1" applyBorder="1" applyProtection="1">
      <protection locked="0"/>
    </xf>
    <xf numFmtId="0" fontId="18" fillId="10" borderId="0" xfId="0" applyFont="1" applyFill="1" applyBorder="1" applyProtection="1">
      <protection locked="0"/>
    </xf>
    <xf numFmtId="0" fontId="20" fillId="10" borderId="0" xfId="0" applyFont="1" applyFill="1" applyBorder="1" applyAlignment="1" applyProtection="1">
      <alignment horizontal="left" indent="1"/>
      <protection locked="0"/>
    </xf>
    <xf numFmtId="165" fontId="20" fillId="10" borderId="0" xfId="1" applyNumberFormat="1" applyFont="1" applyFill="1" applyBorder="1" applyProtection="1">
      <protection locked="0"/>
    </xf>
    <xf numFmtId="165" fontId="12" fillId="0" borderId="1" xfId="1" applyNumberFormat="1" applyFont="1" applyBorder="1" applyProtection="1">
      <protection locked="0"/>
    </xf>
    <xf numFmtId="0" fontId="12"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2"/>
    </xf>
    <xf numFmtId="165" fontId="12" fillId="0" borderId="1" xfId="1" applyNumberFormat="1" applyFont="1" applyBorder="1" applyAlignment="1" applyProtection="1">
      <alignment horizontal="center"/>
      <protection locked="0"/>
    </xf>
    <xf numFmtId="181" fontId="9" fillId="0" borderId="0" xfId="1" applyNumberFormat="1" applyFont="1" applyProtection="1">
      <protection locked="0"/>
    </xf>
    <xf numFmtId="181" fontId="9" fillId="0" borderId="0" xfId="1" applyNumberFormat="1" applyFont="1" applyAlignment="1" applyProtection="1">
      <alignment horizontal="right"/>
      <protection locked="0"/>
    </xf>
    <xf numFmtId="0" fontId="9" fillId="0" borderId="0" xfId="0" applyFont="1"/>
    <xf numFmtId="0" fontId="39" fillId="0" borderId="0" xfId="11"/>
    <xf numFmtId="0" fontId="40" fillId="0" borderId="7" xfId="11" applyFont="1" applyBorder="1" applyAlignment="1">
      <alignment horizontal="centerContinuous"/>
    </xf>
    <xf numFmtId="0" fontId="40" fillId="0" borderId="8" xfId="11" applyFont="1" applyBorder="1" applyAlignment="1">
      <alignment horizontal="centerContinuous"/>
    </xf>
    <xf numFmtId="0" fontId="40" fillId="0" borderId="9" xfId="11" applyFont="1" applyBorder="1" applyAlignment="1">
      <alignment horizontal="centerContinuous"/>
    </xf>
    <xf numFmtId="182" fontId="39" fillId="0" borderId="0" xfId="11" applyNumberFormat="1"/>
    <xf numFmtId="167" fontId="39" fillId="0" borderId="0" xfId="2" applyNumberFormat="1" applyFont="1" applyBorder="1"/>
    <xf numFmtId="183" fontId="39" fillId="0" borderId="12" xfId="2" applyNumberFormat="1" applyFont="1" applyBorder="1" applyAlignment="1">
      <alignment horizontal="center"/>
    </xf>
    <xf numFmtId="183" fontId="39" fillId="0" borderId="13" xfId="2" applyNumberFormat="1" applyFont="1" applyBorder="1" applyAlignment="1">
      <alignment horizontal="center"/>
    </xf>
    <xf numFmtId="183" fontId="39" fillId="0" borderId="14" xfId="2" applyNumberFormat="1" applyFont="1" applyBorder="1" applyAlignment="1">
      <alignment horizontal="center"/>
    </xf>
    <xf numFmtId="0" fontId="40" fillId="0" borderId="0" xfId="11" applyFont="1"/>
    <xf numFmtId="184" fontId="39" fillId="0" borderId="12" xfId="11" applyNumberFormat="1" applyBorder="1" applyAlignment="1">
      <alignment horizontal="center"/>
    </xf>
    <xf numFmtId="184" fontId="39" fillId="0" borderId="13" xfId="11" applyNumberFormat="1" applyBorder="1" applyAlignment="1">
      <alignment horizontal="center"/>
    </xf>
    <xf numFmtId="184" fontId="39" fillId="0" borderId="14" xfId="11" applyNumberFormat="1" applyBorder="1" applyAlignment="1">
      <alignment horizontal="center"/>
    </xf>
    <xf numFmtId="0" fontId="40" fillId="0" borderId="7" xfId="11" applyFont="1" applyBorder="1" applyAlignment="1">
      <alignment horizontal="centerContinuous" vertical="center"/>
    </xf>
    <xf numFmtId="0" fontId="40" fillId="0" borderId="8" xfId="11" applyFont="1" applyBorder="1" applyAlignment="1">
      <alignment horizontal="centerContinuous" vertical="center"/>
    </xf>
    <xf numFmtId="0" fontId="40" fillId="0" borderId="9" xfId="11" applyFont="1" applyBorder="1" applyAlignment="1">
      <alignment horizontal="centerContinuous" vertical="center"/>
    </xf>
    <xf numFmtId="0" fontId="39" fillId="0" borderId="10" xfId="11" applyBorder="1"/>
    <xf numFmtId="0" fontId="40" fillId="0" borderId="10" xfId="11" applyFont="1" applyBorder="1"/>
    <xf numFmtId="185" fontId="39" fillId="0" borderId="0" xfId="12" quotePrefix="1" applyNumberFormat="1" applyAlignment="1">
      <alignment horizontal="center"/>
    </xf>
    <xf numFmtId="185" fontId="39" fillId="0" borderId="11" xfId="12" quotePrefix="1" applyNumberFormat="1" applyBorder="1" applyAlignment="1">
      <alignment horizontal="center"/>
    </xf>
    <xf numFmtId="0" fontId="40" fillId="0" borderId="12" xfId="11" applyFont="1" applyBorder="1"/>
    <xf numFmtId="0" fontId="40" fillId="0" borderId="13" xfId="11" applyFont="1" applyBorder="1"/>
    <xf numFmtId="185" fontId="39" fillId="0" borderId="13" xfId="12" quotePrefix="1" applyNumberFormat="1" applyBorder="1" applyAlignment="1">
      <alignment horizontal="center"/>
    </xf>
    <xf numFmtId="185" fontId="39" fillId="0" borderId="14" xfId="12" quotePrefix="1" applyNumberFormat="1" applyBorder="1" applyAlignment="1">
      <alignment horizontal="center"/>
    </xf>
    <xf numFmtId="0" fontId="40" fillId="0" borderId="10" xfId="11" applyFont="1" applyBorder="1" applyAlignment="1">
      <alignment horizontal="center"/>
    </xf>
    <xf numFmtId="0" fontId="40" fillId="0" borderId="0" xfId="11" applyFont="1" applyAlignment="1">
      <alignment horizontal="center"/>
    </xf>
    <xf numFmtId="0" fontId="40" fillId="0" borderId="11" xfId="11" applyFont="1" applyBorder="1" applyAlignment="1">
      <alignment horizontal="center"/>
    </xf>
    <xf numFmtId="165" fontId="21" fillId="0" borderId="0" xfId="3" applyNumberFormat="1" applyFont="1" applyFill="1" applyBorder="1" applyProtection="1">
      <protection locked="0"/>
    </xf>
    <xf numFmtId="167" fontId="40" fillId="0" borderId="7" xfId="11" applyNumberFormat="1" applyFont="1" applyBorder="1" applyAlignment="1">
      <alignment horizontal="centerContinuous"/>
    </xf>
    <xf numFmtId="181" fontId="40" fillId="0" borderId="7" xfId="11" applyNumberFormat="1" applyFont="1" applyBorder="1" applyAlignment="1">
      <alignment horizontal="centerContinuous"/>
    </xf>
    <xf numFmtId="0" fontId="41" fillId="0" borderId="0" xfId="0" applyFont="1" applyAlignment="1">
      <alignment horizontal="left" indent="1"/>
    </xf>
    <xf numFmtId="186" fontId="9" fillId="0" borderId="0" xfId="1" applyNumberFormat="1" applyFont="1" applyProtection="1">
      <protection locked="0"/>
    </xf>
    <xf numFmtId="0" fontId="11" fillId="11" borderId="0" xfId="0" applyFont="1" applyFill="1" applyAlignment="1">
      <alignment horizontal="left" vertical="center" indent="1"/>
    </xf>
    <xf numFmtId="0" fontId="6" fillId="11" borderId="0" xfId="0" applyFont="1" applyFill="1"/>
    <xf numFmtId="0" fontId="11" fillId="7" borderId="0" xfId="0" quotePrefix="1" applyFont="1" applyFill="1" applyAlignment="1">
      <alignment horizontal="right" vertical="center"/>
    </xf>
    <xf numFmtId="0" fontId="3" fillId="0" borderId="0" xfId="0" applyFont="1" applyAlignment="1">
      <alignment horizontal="left" indent="1"/>
    </xf>
    <xf numFmtId="0" fontId="42" fillId="0" borderId="0" xfId="0" applyFont="1" applyAlignment="1">
      <alignment horizontal="left" indent="1"/>
    </xf>
    <xf numFmtId="41" fontId="43" fillId="0" borderId="0" xfId="0" applyNumberFormat="1" applyFont="1"/>
    <xf numFmtId="167" fontId="3" fillId="4" borderId="0" xfId="2" applyNumberFormat="1" applyFont="1" applyFill="1"/>
    <xf numFmtId="165" fontId="44" fillId="8" borderId="0" xfId="1" applyNumberFormat="1" applyFont="1" applyFill="1" applyAlignment="1" applyProtection="1">
      <protection locked="0"/>
    </xf>
    <xf numFmtId="0" fontId="3" fillId="6" borderId="0" xfId="7" applyFont="1" applyFill="1" applyBorder="1"/>
    <xf numFmtId="165" fontId="11" fillId="11" borderId="0" xfId="1" applyNumberFormat="1" applyFont="1" applyFill="1" applyBorder="1" applyAlignment="1" applyProtection="1">
      <alignment horizontal="right"/>
      <protection locked="0"/>
    </xf>
    <xf numFmtId="41" fontId="11" fillId="12" borderId="0" xfId="1" applyNumberFormat="1" applyFont="1" applyFill="1" applyAlignment="1" applyProtection="1">
      <alignment horizontal="right"/>
      <protection locked="0"/>
    </xf>
    <xf numFmtId="165" fontId="45" fillId="0" borderId="0" xfId="1" applyNumberFormat="1" applyFont="1" applyProtection="1">
      <protection locked="0"/>
    </xf>
    <xf numFmtId="165" fontId="45" fillId="0" borderId="0" xfId="1" applyNumberFormat="1" applyFont="1" applyAlignment="1" applyProtection="1">
      <alignment horizontal="center"/>
      <protection locked="0"/>
    </xf>
    <xf numFmtId="165" fontId="46" fillId="0" borderId="0" xfId="1" applyNumberFormat="1" applyFont="1" applyAlignment="1" applyProtection="1">
      <alignment horizontal="right"/>
      <protection locked="0"/>
    </xf>
    <xf numFmtId="188" fontId="11" fillId="9" borderId="0" xfId="1" applyNumberFormat="1" applyFont="1" applyFill="1" applyAlignment="1" applyProtection="1">
      <protection locked="0"/>
    </xf>
    <xf numFmtId="165" fontId="20" fillId="10" borderId="0" xfId="1" applyNumberFormat="1" applyFont="1" applyFill="1" applyAlignment="1" applyProtection="1">
      <alignment horizontal="centerContinuous"/>
      <protection locked="0"/>
    </xf>
    <xf numFmtId="165" fontId="18" fillId="10" borderId="0" xfId="1" applyNumberFormat="1" applyFont="1" applyFill="1" applyAlignment="1" applyProtection="1">
      <alignment horizontal="centerContinuous"/>
      <protection locked="0"/>
    </xf>
    <xf numFmtId="187" fontId="11" fillId="10" borderId="0" xfId="1" applyNumberFormat="1" applyFont="1" applyFill="1" applyAlignment="1" applyProtection="1">
      <protection locked="0"/>
    </xf>
    <xf numFmtId="165" fontId="12" fillId="2" borderId="2" xfId="1" applyNumberFormat="1" applyFont="1" applyFill="1" applyBorder="1" applyProtection="1">
      <protection locked="0"/>
    </xf>
    <xf numFmtId="0" fontId="0" fillId="2" borderId="0" xfId="0" applyFill="1" applyProtection="1">
      <protection locked="0"/>
    </xf>
    <xf numFmtId="167" fontId="16" fillId="0" borderId="2" xfId="2" applyNumberFormat="1" applyFont="1" applyBorder="1" applyProtection="1">
      <protection locked="0"/>
    </xf>
    <xf numFmtId="165" fontId="30" fillId="2" borderId="2" xfId="1" applyNumberFormat="1" applyFont="1" applyFill="1" applyBorder="1" applyProtection="1">
      <protection locked="0"/>
    </xf>
    <xf numFmtId="165" fontId="20" fillId="10" borderId="0" xfId="1" applyNumberFormat="1" applyFont="1" applyFill="1" applyProtection="1">
      <protection locked="0"/>
    </xf>
    <xf numFmtId="165" fontId="18" fillId="10" borderId="0" xfId="1" applyNumberFormat="1" applyFont="1" applyFill="1" applyProtection="1">
      <protection locked="0"/>
    </xf>
    <xf numFmtId="165" fontId="20" fillId="10" borderId="0" xfId="1" applyNumberFormat="1" applyFont="1" applyFill="1" applyAlignment="1" applyProtection="1">
      <alignment horizontal="right"/>
      <protection locked="0"/>
    </xf>
    <xf numFmtId="0" fontId="20" fillId="10" borderId="0" xfId="1" applyNumberFormat="1" applyFont="1" applyFill="1" applyProtection="1">
      <protection locked="0"/>
    </xf>
    <xf numFmtId="10" fontId="9" fillId="0" borderId="0" xfId="2" applyNumberFormat="1" applyFont="1" applyProtection="1">
      <protection locked="0"/>
    </xf>
    <xf numFmtId="10" fontId="16" fillId="0" borderId="0" xfId="2" applyNumberFormat="1" applyFont="1" applyProtection="1">
      <protection locked="0"/>
    </xf>
    <xf numFmtId="0" fontId="0" fillId="0" borderId="0" xfId="0" applyFill="1" applyProtection="1">
      <protection locked="0"/>
    </xf>
    <xf numFmtId="165" fontId="12" fillId="0" borderId="0" xfId="1" applyNumberFormat="1" applyFont="1" applyFill="1" applyProtection="1">
      <protection locked="0"/>
    </xf>
    <xf numFmtId="0" fontId="0" fillId="0" borderId="2" xfId="0" applyFill="1" applyBorder="1" applyAlignment="1" applyProtection="1">
      <alignment horizontal="left" indent="1"/>
      <protection locked="0"/>
    </xf>
    <xf numFmtId="0" fontId="0" fillId="0" borderId="2" xfId="0" applyFill="1" applyBorder="1" applyProtection="1">
      <protection locked="0"/>
    </xf>
    <xf numFmtId="0" fontId="0" fillId="0" borderId="0" xfId="0" applyFill="1" applyAlignment="1" applyProtection="1">
      <alignment horizontal="left" indent="1"/>
      <protection locked="0"/>
    </xf>
    <xf numFmtId="2" fontId="47" fillId="0" borderId="0" xfId="0" applyNumberFormat="1" applyFont="1" applyFill="1" applyProtection="1">
      <protection locked="0"/>
    </xf>
    <xf numFmtId="165" fontId="45" fillId="2" borderId="0" xfId="1" applyNumberFormat="1" applyFont="1" applyFill="1" applyAlignment="1" applyProtection="1">
      <alignment horizontal="left" indent="1"/>
      <protection locked="0"/>
    </xf>
    <xf numFmtId="165" fontId="9" fillId="0" borderId="0" xfId="1" applyNumberFormat="1" applyFont="1" applyAlignment="1" applyProtection="1">
      <alignment horizontal="left" indent="1"/>
      <protection locked="0"/>
    </xf>
    <xf numFmtId="167" fontId="12" fillId="0" borderId="0" xfId="2" applyNumberFormat="1" applyFont="1" applyProtection="1">
      <protection locked="0"/>
    </xf>
    <xf numFmtId="165" fontId="9" fillId="0" borderId="0" xfId="1" quotePrefix="1" applyNumberFormat="1" applyFont="1" applyAlignment="1" applyProtection="1">
      <alignment horizontal="center"/>
      <protection locked="0"/>
    </xf>
    <xf numFmtId="167" fontId="9" fillId="0" borderId="0" xfId="2" applyNumberFormat="1" applyFont="1" applyBorder="1" applyProtection="1">
      <protection locked="0"/>
    </xf>
    <xf numFmtId="167" fontId="9" fillId="5" borderId="0" xfId="2" applyNumberFormat="1" applyFont="1" applyFill="1" applyAlignment="1" applyProtection="1">
      <alignment horizontal="right"/>
      <protection locked="0"/>
    </xf>
    <xf numFmtId="167" fontId="16" fillId="0" borderId="0" xfId="2" applyNumberFormat="1" applyFont="1" applyAlignment="1" applyProtection="1">
      <alignment horizontal="right"/>
      <protection locked="0"/>
    </xf>
    <xf numFmtId="167" fontId="12" fillId="0" borderId="2" xfId="2" applyNumberFormat="1" applyFont="1" applyBorder="1" applyProtection="1">
      <protection locked="0"/>
    </xf>
    <xf numFmtId="172" fontId="9" fillId="0" borderId="0" xfId="1" applyNumberFormat="1" applyFont="1" applyProtection="1">
      <protection locked="0"/>
    </xf>
    <xf numFmtId="41" fontId="12" fillId="0" borderId="0" xfId="9" applyFont="1" applyBorder="1" applyProtection="1">
      <protection locked="0"/>
    </xf>
    <xf numFmtId="0" fontId="20" fillId="0" borderId="0" xfId="0" applyFont="1" applyFill="1" applyBorder="1" applyAlignment="1" applyProtection="1">
      <alignment horizontal="left" indent="1"/>
      <protection locked="0"/>
    </xf>
    <xf numFmtId="0" fontId="20" fillId="0" borderId="0" xfId="0" applyFont="1" applyFill="1" applyBorder="1" applyProtection="1">
      <protection locked="0"/>
    </xf>
    <xf numFmtId="0" fontId="18" fillId="0" borderId="0" xfId="0" applyFont="1" applyFill="1" applyBorder="1" applyProtection="1">
      <protection locked="0"/>
    </xf>
    <xf numFmtId="167" fontId="9" fillId="0" borderId="0" xfId="2" applyNumberFormat="1" applyFont="1" applyFill="1" applyAlignment="1" applyProtection="1">
      <alignment horizontal="right"/>
      <protection locked="0"/>
    </xf>
    <xf numFmtId="167" fontId="9" fillId="0" borderId="0" xfId="2" applyNumberFormat="1" applyFont="1" applyFill="1" applyProtection="1">
      <protection locked="0"/>
    </xf>
    <xf numFmtId="0" fontId="48" fillId="0" borderId="0" xfId="0" applyFont="1" applyAlignment="1">
      <alignment horizontal="left" vertical="center" indent="1"/>
    </xf>
    <xf numFmtId="0" fontId="48" fillId="0" borderId="5" xfId="0" applyFont="1" applyBorder="1" applyProtection="1">
      <protection locked="0"/>
    </xf>
    <xf numFmtId="171" fontId="18" fillId="6" borderId="0" xfId="0" applyNumberFormat="1" applyFont="1" applyFill="1" applyProtection="1">
      <protection locked="0"/>
    </xf>
    <xf numFmtId="171" fontId="15" fillId="0" borderId="6" xfId="1" applyNumberFormat="1" applyFont="1" applyBorder="1" applyAlignment="1" applyProtection="1">
      <alignment horizontal="center"/>
      <protection locked="0"/>
    </xf>
    <xf numFmtId="171" fontId="14" fillId="0" borderId="6" xfId="1" applyNumberFormat="1" applyFont="1" applyBorder="1" applyAlignment="1" applyProtection="1">
      <alignment horizontal="center"/>
      <protection locked="0"/>
    </xf>
    <xf numFmtId="165" fontId="9" fillId="0" borderId="0" xfId="2" applyNumberFormat="1" applyFont="1" applyAlignment="1" applyProtection="1">
      <alignment horizontal="right"/>
      <protection locked="0"/>
    </xf>
    <xf numFmtId="165" fontId="9" fillId="0" borderId="0" xfId="2" applyNumberFormat="1" applyFont="1" applyProtection="1">
      <protection locked="0"/>
    </xf>
    <xf numFmtId="165" fontId="9" fillId="0" borderId="0" xfId="0" applyNumberFormat="1" applyFont="1" applyProtection="1">
      <protection locked="0"/>
    </xf>
    <xf numFmtId="165" fontId="9" fillId="0" borderId="15" xfId="1" applyNumberFormat="1" applyFont="1" applyBorder="1" applyProtection="1">
      <protection locked="0"/>
    </xf>
    <xf numFmtId="167" fontId="9" fillId="0" borderId="0" xfId="2" applyNumberFormat="1" applyFont="1" applyAlignment="1" applyProtection="1">
      <alignment horizontal="centerContinuous"/>
      <protection locked="0"/>
    </xf>
    <xf numFmtId="165" fontId="9" fillId="0" borderId="0" xfId="1" applyNumberFormat="1" applyFont="1" applyAlignment="1" applyProtection="1">
      <alignment horizontal="centerContinuous"/>
      <protection locked="0"/>
    </xf>
    <xf numFmtId="167" fontId="15" fillId="0" borderId="3" xfId="2" applyNumberFormat="1" applyFont="1" applyBorder="1" applyAlignment="1" applyProtection="1">
      <alignment horizontal="right"/>
      <protection locked="0"/>
    </xf>
    <xf numFmtId="167" fontId="12" fillId="0" borderId="3" xfId="2" applyNumberFormat="1" applyFont="1" applyBorder="1" applyAlignment="1" applyProtection="1">
      <alignment horizontal="right"/>
      <protection locked="0"/>
    </xf>
    <xf numFmtId="0" fontId="12" fillId="0" borderId="0" xfId="0" applyFont="1" applyFill="1" applyBorder="1" applyProtection="1">
      <protection locked="0"/>
    </xf>
    <xf numFmtId="170" fontId="15" fillId="0" borderId="0" xfId="1" applyNumberFormat="1" applyFont="1" applyFill="1" applyBorder="1" applyAlignment="1" applyProtection="1">
      <alignment horizontal="center"/>
      <protection locked="0"/>
    </xf>
    <xf numFmtId="189" fontId="15" fillId="0" borderId="3" xfId="9" applyNumberFormat="1" applyFont="1" applyBorder="1" applyAlignment="1" applyProtection="1">
      <alignment horizontal="right"/>
      <protection locked="0"/>
    </xf>
    <xf numFmtId="189" fontId="12" fillId="0" borderId="3" xfId="9" applyNumberFormat="1" applyFont="1" applyBorder="1" applyAlignment="1" applyProtection="1">
      <alignment horizontal="right"/>
      <protection locked="0"/>
    </xf>
    <xf numFmtId="9" fontId="15" fillId="0" borderId="3" xfId="2" applyFont="1" applyBorder="1" applyAlignment="1" applyProtection="1">
      <alignment horizontal="right"/>
      <protection locked="0"/>
    </xf>
    <xf numFmtId="9" fontId="12" fillId="0" borderId="3" xfId="2" applyFont="1" applyBorder="1" applyAlignment="1" applyProtection="1">
      <alignment horizontal="right"/>
      <protection locked="0"/>
    </xf>
    <xf numFmtId="0" fontId="49" fillId="0" borderId="0" xfId="0" applyFont="1" applyAlignment="1">
      <alignment horizontal="left" indent="1"/>
    </xf>
    <xf numFmtId="165" fontId="49" fillId="0" borderId="0" xfId="1" applyNumberFormat="1" applyFont="1" applyAlignment="1" applyProtection="1">
      <alignment horizontal="center"/>
      <protection locked="0"/>
    </xf>
    <xf numFmtId="165" fontId="49" fillId="0" borderId="0" xfId="1" applyNumberFormat="1" applyFont="1" applyProtection="1">
      <protection locked="0"/>
    </xf>
    <xf numFmtId="0" fontId="50" fillId="0" borderId="0" xfId="0" applyFont="1" applyAlignment="1">
      <alignment horizontal="left" indent="1"/>
    </xf>
    <xf numFmtId="165" fontId="38" fillId="0" borderId="0" xfId="1" applyNumberFormat="1" applyFont="1" applyProtection="1">
      <protection locked="0"/>
    </xf>
    <xf numFmtId="165" fontId="18" fillId="10" borderId="0" xfId="1" applyNumberFormat="1" applyFont="1" applyFill="1" applyBorder="1" applyProtection="1">
      <protection locked="0"/>
    </xf>
    <xf numFmtId="0" fontId="23" fillId="6" borderId="0" xfId="4" applyFill="1" applyBorder="1" applyProtection="1">
      <protection locked="0"/>
    </xf>
    <xf numFmtId="0" fontId="2" fillId="0" borderId="0" xfId="0" applyFont="1"/>
    <xf numFmtId="0" fontId="51" fillId="0" borderId="0" xfId="0" applyFont="1" applyAlignment="1">
      <alignment horizontal="left" indent="1"/>
    </xf>
    <xf numFmtId="0" fontId="4" fillId="0" borderId="0" xfId="0" applyFont="1" applyAlignment="1">
      <alignment horizontal="center"/>
    </xf>
    <xf numFmtId="0" fontId="52" fillId="0" borderId="0" xfId="0" applyFont="1" applyAlignment="1">
      <alignment horizontal="left" indent="1"/>
    </xf>
    <xf numFmtId="0" fontId="52" fillId="0" borderId="2" xfId="0" applyFont="1" applyBorder="1" applyAlignment="1">
      <alignment horizontal="left" indent="1"/>
    </xf>
    <xf numFmtId="0" fontId="4" fillId="0" borderId="2" xfId="0" applyFont="1" applyBorder="1"/>
    <xf numFmtId="0" fontId="53" fillId="6" borderId="0" xfId="7" applyFont="1" applyFill="1" applyBorder="1"/>
    <xf numFmtId="0" fontId="54" fillId="6" borderId="0" xfId="8" applyFont="1" applyFill="1" applyBorder="1"/>
    <xf numFmtId="0" fontId="53" fillId="6" borderId="0" xfId="5" applyFont="1" applyFill="1" applyBorder="1"/>
    <xf numFmtId="9" fontId="15" fillId="0" borderId="0" xfId="2" applyFont="1" applyFill="1" applyBorder="1" applyProtection="1">
      <protection locked="0"/>
    </xf>
    <xf numFmtId="41" fontId="9" fillId="0" borderId="0" xfId="9" applyFont="1" applyProtection="1">
      <protection locked="0"/>
    </xf>
    <xf numFmtId="174" fontId="16" fillId="5" borderId="0" xfId="9" applyNumberFormat="1" applyFont="1" applyFill="1" applyProtection="1">
      <protection locked="0"/>
    </xf>
    <xf numFmtId="167" fontId="12" fillId="2" borderId="0" xfId="2" applyNumberFormat="1" applyFont="1" applyFill="1" applyProtection="1">
      <protection locked="0"/>
    </xf>
    <xf numFmtId="165" fontId="9" fillId="0" borderId="0" xfId="2" applyNumberFormat="1" applyFont="1" applyFill="1" applyAlignment="1" applyProtection="1">
      <alignment horizontal="right"/>
      <protection locked="0"/>
    </xf>
    <xf numFmtId="165" fontId="9" fillId="0" borderId="0" xfId="2" applyNumberFormat="1" applyFont="1" applyFill="1" applyProtection="1">
      <protection locked="0"/>
    </xf>
    <xf numFmtId="165" fontId="9" fillId="0" borderId="0" xfId="0" applyNumberFormat="1" applyFont="1" applyFill="1" applyProtection="1">
      <protection locked="0"/>
    </xf>
    <xf numFmtId="165" fontId="9" fillId="13" borderId="0" xfId="1" applyNumberFormat="1" applyFont="1" applyFill="1" applyBorder="1" applyProtection="1">
      <protection locked="0"/>
    </xf>
    <xf numFmtId="165" fontId="9" fillId="13" borderId="0" xfId="1" applyNumberFormat="1" applyFont="1" applyFill="1" applyProtection="1">
      <protection locked="0"/>
    </xf>
    <xf numFmtId="165" fontId="9" fillId="14" borderId="0" xfId="1" applyNumberFormat="1" applyFont="1" applyFill="1" applyProtection="1">
      <protection locked="0"/>
    </xf>
    <xf numFmtId="165" fontId="9" fillId="0" borderId="15" xfId="1" applyNumberFormat="1" applyFont="1" applyFill="1" applyBorder="1" applyProtection="1">
      <protection locked="0"/>
    </xf>
    <xf numFmtId="165" fontId="9" fillId="13" borderId="0" xfId="2" applyNumberFormat="1" applyFont="1" applyFill="1" applyAlignment="1" applyProtection="1">
      <alignment horizontal="right"/>
      <protection locked="0"/>
    </xf>
    <xf numFmtId="165" fontId="9" fillId="14" borderId="0" xfId="2" applyNumberFormat="1" applyFont="1" applyFill="1" applyAlignment="1" applyProtection="1">
      <alignment horizontal="right"/>
      <protection locked="0"/>
    </xf>
    <xf numFmtId="165" fontId="9" fillId="13" borderId="0" xfId="2" applyNumberFormat="1" applyFont="1" applyFill="1" applyProtection="1">
      <protection locked="0"/>
    </xf>
    <xf numFmtId="165" fontId="9" fillId="13" borderId="0" xfId="0" applyNumberFormat="1" applyFont="1" applyFill="1" applyProtection="1">
      <protection locked="0"/>
    </xf>
    <xf numFmtId="165" fontId="9" fillId="14" borderId="0" xfId="2" applyNumberFormat="1" applyFont="1" applyFill="1" applyProtection="1">
      <protection locked="0"/>
    </xf>
    <xf numFmtId="165" fontId="9" fillId="14" borderId="0" xfId="0" applyNumberFormat="1" applyFont="1" applyFill="1" applyProtection="1">
      <protection locked="0"/>
    </xf>
    <xf numFmtId="1" fontId="12" fillId="0" borderId="1" xfId="1" applyNumberFormat="1" applyFont="1" applyBorder="1" applyProtection="1">
      <protection locked="0"/>
    </xf>
    <xf numFmtId="0" fontId="7" fillId="10" borderId="0" xfId="5" applyFont="1" applyFill="1"/>
    <xf numFmtId="0" fontId="28" fillId="10" borderId="0" xfId="5" applyFont="1" applyFill="1"/>
    <xf numFmtId="0" fontId="55" fillId="6" borderId="0" xfId="5" applyFont="1" applyFill="1" applyBorder="1" applyProtection="1">
      <protection locked="0"/>
    </xf>
    <xf numFmtId="0" fontId="53" fillId="6" borderId="0" xfId="5" applyFont="1" applyFill="1" applyBorder="1" applyAlignment="1">
      <alignment wrapText="1"/>
    </xf>
    <xf numFmtId="0" fontId="56" fillId="5" borderId="0" xfId="5" applyFont="1" applyFill="1" applyBorder="1"/>
    <xf numFmtId="0" fontId="53" fillId="5" borderId="0" xfId="5" applyFont="1" applyFill="1" applyBorder="1"/>
    <xf numFmtId="0" fontId="57" fillId="5" borderId="0" xfId="5" applyFont="1" applyFill="1" applyBorder="1" applyAlignment="1">
      <alignment horizontal="left" wrapText="1"/>
    </xf>
    <xf numFmtId="0" fontId="58" fillId="2" borderId="0" xfId="4" applyFont="1" applyFill="1" applyAlignment="1">
      <alignment horizontal="left" indent="1"/>
    </xf>
    <xf numFmtId="0" fontId="59" fillId="2" borderId="0" xfId="4" applyFont="1" applyFill="1" applyAlignment="1">
      <alignment horizontal="left" indent="1"/>
    </xf>
    <xf numFmtId="9" fontId="9" fillId="0" borderId="0" xfId="2" applyFont="1" applyProtection="1">
      <protection locked="0"/>
    </xf>
    <xf numFmtId="165" fontId="21" fillId="10" borderId="0" xfId="3" applyNumberFormat="1" applyFont="1" applyFill="1" applyBorder="1" applyProtection="1">
      <protection locked="0"/>
    </xf>
    <xf numFmtId="188" fontId="27" fillId="10" borderId="0" xfId="9" applyNumberFormat="1" applyFont="1" applyFill="1" applyBorder="1" applyAlignment="1" applyProtection="1">
      <alignment vertical="center"/>
      <protection locked="0"/>
    </xf>
    <xf numFmtId="187" fontId="27" fillId="15" borderId="0" xfId="9" applyNumberFormat="1" applyFont="1" applyFill="1" applyBorder="1" applyAlignment="1" applyProtection="1">
      <alignment vertical="center"/>
      <protection locked="0"/>
    </xf>
    <xf numFmtId="0" fontId="1" fillId="6" borderId="0" xfId="7" applyFont="1" applyFill="1" applyBorder="1"/>
  </cellXfs>
  <cellStyles count="13">
    <cellStyle name="Comma" xfId="1" builtinId="3"/>
    <cellStyle name="Comma [0]" xfId="9" builtinId="6"/>
    <cellStyle name="Comma 3" xfId="3" xr:uid="{E8278689-C658-4F6C-96F0-F602ADE096B3}"/>
    <cellStyle name="Comma 4" xfId="10" xr:uid="{BC06C855-E14C-4D89-9CF8-9DC505A8C07F}"/>
    <cellStyle name="Hyperlink" xfId="4" builtinId="8"/>
    <cellStyle name="Hyperlink 2" xfId="6" xr:uid="{84650CAD-4978-45D6-812C-0F2494F66EA7}"/>
    <cellStyle name="Hyperlink 2 2" xfId="8" xr:uid="{FDBFB8DB-8D1E-4E75-A56E-6FD7E6D347FE}"/>
    <cellStyle name="Normal" xfId="0" builtinId="0"/>
    <cellStyle name="Normal 2" xfId="5" xr:uid="{BA70D887-E320-48E9-89B2-6E3D6AB9C8C3}"/>
    <cellStyle name="Normal 2 2" xfId="7" xr:uid="{1820F241-889A-47EB-8901-0E65BD9E4ED6}"/>
    <cellStyle name="Normal_inesbitassignment1Stantec" xfId="11" xr:uid="{F8F50AF7-EF0F-4812-B32A-C3CA657B9A58}"/>
    <cellStyle name="Normal_Wal-Mart Financial Statements" xfId="12" xr:uid="{B506ED2B-739F-432F-AE4D-F0575349DAF9}"/>
    <cellStyle name="Percent" xfId="2" builtinId="5"/>
  </cellStyles>
  <dxfs count="2">
    <dxf>
      <font>
        <color rgb="FF9C0006"/>
      </font>
      <fill>
        <patternFill>
          <bgColor rgb="FFFFC7CE"/>
        </patternFill>
      </fill>
    </dxf>
    <dxf>
      <font>
        <color rgb="FF006100"/>
      </font>
      <fill>
        <patternFill patternType="none">
          <bgColor auto="1"/>
        </patternFill>
      </fill>
    </dxf>
  </dxfs>
  <tableStyles count="0" defaultTableStyle="TableStyleMedium2" defaultPivotStyle="PivotStyleLight16"/>
  <colors>
    <mruColors>
      <color rgb="FF03858A"/>
      <color rgb="FF0000FF"/>
      <color rgb="FF132E57"/>
      <color rgb="FF1E8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'Business Valuation (DFC) Model'!$A$333</c:f>
              <c:strCache>
                <c:ptCount val="1"/>
                <c:pt idx="0">
                  <c:v> Revenue </c:v>
                </c:pt>
              </c:strCache>
            </c:strRef>
          </c:tx>
          <c:spPr>
            <a:solidFill>
              <a:schemeClr val="accent2"/>
            </a:solidFill>
            <a:ln>
              <a:noFill/>
            </a:ln>
            <a:effectLst/>
          </c:spPr>
          <c:invertIfNegative val="0"/>
          <c:val>
            <c:numRef>
              <c:f>'Business Valuation (DFC) Model'!$D$333:$M$333</c:f>
            </c:numRef>
          </c:val>
          <c:extLst>
            <c:ext xmlns:c15="http://schemas.microsoft.com/office/drawing/2012/chart" uri="{02D57815-91ED-43cb-92C2-25804820EDAC}">
              <c15:filteredCategoryTitle>
                <c15:cat>
                  <c:numRef>
                    <c:extLst>
                      <c:ext uri="{02D57815-91ED-43cb-92C2-25804820EDAC}">
                        <c15:formulaRef>
                          <c15:sqref>'Business Valuation (DFC) Model'!$D$331:$M$331</c15:sqref>
                        </c15:formulaRef>
                      </c:ext>
                    </c:extLst>
                  </c:numRef>
                </c15:cat>
              </c15:filteredCategoryTitle>
            </c:ext>
            <c:ext xmlns:c16="http://schemas.microsoft.com/office/drawing/2014/chart" uri="{C3380CC4-5D6E-409C-BE32-E72D297353CC}">
              <c16:uniqueId val="{00000001-FD94-46A6-83FA-840EDABE4AA7}"/>
            </c:ext>
          </c:extLst>
        </c:ser>
        <c:ser>
          <c:idx val="2"/>
          <c:order val="1"/>
          <c:tx>
            <c:strRef>
              <c:f>'Business Valuation (DFC) Model'!$A$334</c:f>
              <c:strCache>
                <c:ptCount val="1"/>
                <c:pt idx="0">
                  <c:v> Gross Profit </c:v>
                </c:pt>
              </c:strCache>
            </c:strRef>
          </c:tx>
          <c:spPr>
            <a:solidFill>
              <a:schemeClr val="accent3"/>
            </a:solidFill>
            <a:ln>
              <a:noFill/>
            </a:ln>
            <a:effectLst/>
          </c:spPr>
          <c:invertIfNegative val="0"/>
          <c:val>
            <c:numRef>
              <c:f>'Business Valuation (DFC) Model'!$D$334:$M$334</c:f>
            </c:numRef>
          </c:val>
          <c:extLst>
            <c:ext xmlns:c15="http://schemas.microsoft.com/office/drawing/2012/chart" uri="{02D57815-91ED-43cb-92C2-25804820EDAC}">
              <c15:filteredCategoryTitle>
                <c15:cat>
                  <c:numRef>
                    <c:extLst>
                      <c:ext uri="{02D57815-91ED-43cb-92C2-25804820EDAC}">
                        <c15:formulaRef>
                          <c15:sqref>'Business Valuation (DFC) Model'!$D$331:$M$331</c15:sqref>
                        </c15:formulaRef>
                      </c:ext>
                    </c:extLst>
                  </c:numRef>
                </c15:cat>
              </c15:filteredCategoryTitle>
            </c:ext>
            <c:ext xmlns:c16="http://schemas.microsoft.com/office/drawing/2014/chart" uri="{C3380CC4-5D6E-409C-BE32-E72D297353CC}">
              <c16:uniqueId val="{00000002-2C69-4AB3-B194-2A6BDEC04C5D}"/>
            </c:ext>
          </c:extLst>
        </c:ser>
        <c:ser>
          <c:idx val="4"/>
          <c:order val="2"/>
          <c:tx>
            <c:strRef>
              <c:f>'Business Valuation (DFC) Model'!$A$336</c:f>
              <c:strCache>
                <c:ptCount val="1"/>
                <c:pt idx="0">
                  <c:v> Net Earnings </c:v>
                </c:pt>
              </c:strCache>
            </c:strRef>
          </c:tx>
          <c:spPr>
            <a:solidFill>
              <a:schemeClr val="accent5"/>
            </a:solidFill>
            <a:ln>
              <a:noFill/>
            </a:ln>
            <a:effectLst/>
          </c:spPr>
          <c:invertIfNegative val="0"/>
          <c:val>
            <c:numRef>
              <c:f>'Business Valuation (DFC) Model'!$D$336:$M$336</c:f>
            </c:numRef>
          </c:val>
          <c:extLst>
            <c:ext xmlns:c15="http://schemas.microsoft.com/office/drawing/2012/chart" uri="{02D57815-91ED-43cb-92C2-25804820EDAC}">
              <c15:filteredCategoryTitle>
                <c15:cat>
                  <c:numRef>
                    <c:extLst>
                      <c:ext uri="{02D57815-91ED-43cb-92C2-25804820EDAC}">
                        <c15:formulaRef>
                          <c15:sqref>'Business Valuation (DFC) Model'!$D$331:$M$331</c15:sqref>
                        </c15:formulaRef>
                      </c:ext>
                    </c:extLst>
                  </c:numRef>
                </c15:cat>
              </c15:filteredCategoryTitle>
            </c:ext>
            <c:ext xmlns:c16="http://schemas.microsoft.com/office/drawing/2014/chart" uri="{C3380CC4-5D6E-409C-BE32-E72D297353CC}">
              <c16:uniqueId val="{00000000-1F97-41FF-B6F3-19BC35C9A2A6}"/>
            </c:ext>
          </c:extLst>
        </c:ser>
        <c:dLbls>
          <c:showLegendKey val="0"/>
          <c:showVal val="0"/>
          <c:showCatName val="0"/>
          <c:showSerName val="0"/>
          <c:showPercent val="0"/>
          <c:showBubbleSize val="0"/>
        </c:dLbls>
        <c:gapWidth val="120"/>
        <c:axId val="630617760"/>
        <c:axId val="630619400"/>
      </c:barChart>
      <c:lineChart>
        <c:grouping val="standard"/>
        <c:varyColors val="0"/>
        <c:ser>
          <c:idx val="0"/>
          <c:order val="3"/>
          <c:tx>
            <c:strRef>
              <c:f>'Business Valuation (DFC) Model'!$A$335</c:f>
              <c:strCache>
                <c:ptCount val="1"/>
                <c:pt idx="0">
                  <c:v> Gross Profit Margin </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P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'Business Valuation (DFC) Model'!$D$335:$M$335</c:f>
            </c:numRef>
          </c:val>
          <c:smooth val="0"/>
          <c:extLst>
            <c:ext xmlns:c15="http://schemas.microsoft.com/office/drawing/2012/chart" uri="{02D57815-91ED-43cb-92C2-25804820EDAC}">
              <c15:filteredCategoryTitle>
                <c15:cat>
                  <c:numRef>
                    <c:extLst>
                      <c:ext uri="{02D57815-91ED-43cb-92C2-25804820EDAC}">
                        <c15:formulaRef>
                          <c15:sqref>'Business Valuation (DFC) Model'!$D$331:$M$331</c15:sqref>
                        </c15:formulaRef>
                      </c:ext>
                    </c:extLst>
                  </c:numRef>
                </c15:cat>
              </c15:filteredCategoryTitle>
            </c:ext>
            <c:ext xmlns:c16="http://schemas.microsoft.com/office/drawing/2014/chart" uri="{C3380CC4-5D6E-409C-BE32-E72D297353CC}">
              <c16:uniqueId val="{00000000-C972-4A2E-A0AC-8DA5F0440BF5}"/>
            </c:ext>
          </c:extLst>
        </c:ser>
        <c:ser>
          <c:idx val="3"/>
          <c:order val="4"/>
          <c:tx>
            <c:strRef>
              <c:f>'Business Valuation (DFC) Model'!$A$337</c:f>
              <c:strCache>
                <c:ptCount val="1"/>
                <c:pt idx="0">
                  <c:v> Net Earnings Margin </c:v>
                </c:pt>
              </c:strCache>
            </c:strRef>
          </c:tx>
          <c:spPr>
            <a:ln w="28575" cap="rnd">
              <a:solidFill>
                <a:schemeClr val="accent4"/>
              </a:solidFill>
              <a:round/>
            </a:ln>
            <a:effectLst/>
          </c:spPr>
          <c:marker>
            <c:symbol val="none"/>
          </c:marker>
          <c:dLbls>
            <c:spPr>
              <a:solidFill>
                <a:schemeClr val="accent4">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PK"/>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'Business Valuation (DFC) Model'!$D$337:$M$337</c:f>
            </c:numRef>
          </c:val>
          <c:smooth val="0"/>
          <c:extLst>
            <c:ext xmlns:c15="http://schemas.microsoft.com/office/drawing/2012/chart" uri="{02D57815-91ED-43cb-92C2-25804820EDAC}">
              <c15:filteredCategoryTitle>
                <c15:cat>
                  <c:numRef>
                    <c:extLst>
                      <c:ext uri="{02D57815-91ED-43cb-92C2-25804820EDAC}">
                        <c15:formulaRef>
                          <c15:sqref>'Business Valuation (DFC) Model'!$D$331:$M$331</c15:sqref>
                        </c15:formulaRef>
                      </c:ext>
                    </c:extLst>
                  </c:numRef>
                </c15:cat>
              </c15:filteredCategoryTitle>
            </c:ext>
            <c:ext xmlns:c16="http://schemas.microsoft.com/office/drawing/2014/chart" uri="{C3380CC4-5D6E-409C-BE32-E72D297353CC}">
              <c16:uniqueId val="{00000003-2C69-4AB3-B194-2A6BDEC04C5D}"/>
            </c:ext>
          </c:extLst>
        </c:ser>
        <c:dLbls>
          <c:showLegendKey val="0"/>
          <c:showVal val="0"/>
          <c:showCatName val="0"/>
          <c:showSerName val="0"/>
          <c:showPercent val="0"/>
          <c:showBubbleSize val="0"/>
        </c:dLbls>
        <c:marker val="1"/>
        <c:smooth val="0"/>
        <c:axId val="411571400"/>
        <c:axId val="411597640"/>
      </c:lineChart>
      <c:catAx>
        <c:axId val="630617760"/>
        <c:scaling>
          <c:orientation val="minMax"/>
        </c:scaling>
        <c:delete val="0"/>
        <c:axPos val="b"/>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630619400"/>
        <c:crosses val="autoZero"/>
        <c:auto val="1"/>
        <c:lblAlgn val="ctr"/>
        <c:lblOffset val="100"/>
        <c:noMultiLvlLbl val="0"/>
      </c:catAx>
      <c:valAx>
        <c:axId val="630619400"/>
        <c:scaling>
          <c:orientation val="minMax"/>
        </c:scaling>
        <c:delete val="0"/>
        <c:axPos val="l"/>
        <c:numFmt formatCode="_-* #,##0_-;\(#,##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630617760"/>
        <c:crosses val="autoZero"/>
        <c:crossBetween val="between"/>
      </c:valAx>
      <c:valAx>
        <c:axId val="411597640"/>
        <c:scaling>
          <c:orientation val="minMax"/>
          <c:max val="0.8"/>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411571400"/>
        <c:crosses val="max"/>
        <c:crossBetween val="between"/>
      </c:valAx>
      <c:catAx>
        <c:axId val="411571400"/>
        <c:scaling>
          <c:orientation val="minMax"/>
        </c:scaling>
        <c:delete val="1"/>
        <c:axPos val="b"/>
        <c:numFmt formatCode="0" sourceLinked="1"/>
        <c:majorTickMark val="out"/>
        <c:minorTickMark val="none"/>
        <c:tickLblPos val="nextTo"/>
        <c:crossAx val="4115976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legend>
    <c:plotVisOnly val="1"/>
    <c:dispBlanksAs val="gap"/>
    <c:showDLblsOverMax val="0"/>
  </c:chart>
  <c:spPr>
    <a:solidFill>
      <a:schemeClr val="bg1"/>
    </a:solidFill>
    <a:ln w="9525" cap="flat" cmpd="sng" algn="ctr">
      <a:noFill/>
      <a:round/>
    </a:ln>
    <a:effectLst/>
  </c:spPr>
  <c:txPr>
    <a:bodyPr/>
    <a:lstStyle/>
    <a:p>
      <a:pPr>
        <a:defRPr/>
      </a:pPr>
      <a:endParaRPr lang="en-P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'Business Valuation (DFC) Model'!$A$460</c:f>
              <c:strCache>
                <c:ptCount val="1"/>
                <c:pt idx="0">
                  <c:v> Net Earnings </c:v>
                </c:pt>
              </c:strCache>
            </c:strRef>
          </c:tx>
          <c:spPr>
            <a:solidFill>
              <a:schemeClr val="accent1"/>
            </a:solidFill>
            <a:ln>
              <a:noFill/>
            </a:ln>
            <a:effectLst/>
          </c:spPr>
          <c:invertIfNegative val="0"/>
          <c:dLbls>
            <c:delete val="1"/>
          </c:dLbls>
          <c:cat>
            <c:strRef>
              <c:f>'Business Valuation (DFC) Model'!$D$447:$M$448</c:f>
            </c:strRef>
          </c:cat>
          <c:val>
            <c:numRef>
              <c:f>'Business Valuation (DFC) Model'!$E$460:$M$460</c:f>
            </c:numRef>
          </c:val>
          <c:extLst>
            <c:ext xmlns:c16="http://schemas.microsoft.com/office/drawing/2014/chart" uri="{C3380CC4-5D6E-409C-BE32-E72D297353CC}">
              <c16:uniqueId val="{00000000-347F-4548-9354-D6784DFB8383}"/>
            </c:ext>
          </c:extLst>
        </c:ser>
        <c:dLbls>
          <c:showLegendKey val="0"/>
          <c:showVal val="1"/>
          <c:showCatName val="0"/>
          <c:showSerName val="0"/>
          <c:showPercent val="0"/>
          <c:showBubbleSize val="0"/>
        </c:dLbls>
        <c:gapWidth val="130"/>
        <c:axId val="532227944"/>
        <c:axId val="532227288"/>
      </c:barChart>
      <c:lineChart>
        <c:grouping val="standard"/>
        <c:varyColors val="0"/>
        <c:ser>
          <c:idx val="1"/>
          <c:order val="1"/>
          <c:tx>
            <c:strRef>
              <c:f>'Business Valuation (DFC) Model'!$A$461</c:f>
              <c:strCache>
                <c:ptCount val="1"/>
                <c:pt idx="0">
                  <c:v> Return on Equity </c:v>
                </c:pt>
              </c:strCache>
            </c:strRef>
          </c:tx>
          <c:spPr>
            <a:ln w="28575" cap="rnd">
              <a:solidFill>
                <a:schemeClr val="accent2"/>
              </a:solidFill>
              <a:round/>
            </a:ln>
            <a:effectLst/>
          </c:spPr>
          <c:marker>
            <c:symbol val="none"/>
          </c:marker>
          <c:dLbls>
            <c:spPr>
              <a:solidFill>
                <a:schemeClr val="accent2">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P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'Business Valuation (DFC) Model'!$D$447:$M$447</c:f>
            </c:numRef>
          </c:cat>
          <c:val>
            <c:numRef>
              <c:f>'Business Valuation (DFC) Model'!$D$461:$M$461</c:f>
            </c:numRef>
          </c:val>
          <c:smooth val="0"/>
          <c:extLst>
            <c:ext xmlns:c16="http://schemas.microsoft.com/office/drawing/2014/chart" uri="{C3380CC4-5D6E-409C-BE32-E72D297353CC}">
              <c16:uniqueId val="{00000002-347F-4548-9354-D6784DFB8383}"/>
            </c:ext>
          </c:extLst>
        </c:ser>
        <c:ser>
          <c:idx val="2"/>
          <c:order val="2"/>
          <c:tx>
            <c:strRef>
              <c:f>'Business Valuation (DFC) Model'!$A$462</c:f>
              <c:strCache>
                <c:ptCount val="1"/>
                <c:pt idx="0">
                  <c:v> Returns on Assets </c:v>
                </c:pt>
              </c:strCache>
            </c:strRef>
          </c:tx>
          <c:spPr>
            <a:ln w="28575" cap="rnd">
              <a:solidFill>
                <a:schemeClr val="accent3"/>
              </a:solidFill>
              <a:round/>
            </a:ln>
            <a:effectLst/>
          </c:spPr>
          <c:marker>
            <c:symbol val="none"/>
          </c:marker>
          <c:dLbls>
            <c:spPr>
              <a:solidFill>
                <a:schemeClr val="bg1">
                  <a:lumMod val="95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PK"/>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'Business Valuation (DFC) Model'!$D$447:$M$447</c:f>
            </c:numRef>
          </c:cat>
          <c:val>
            <c:numRef>
              <c:f>'Business Valuation (DFC) Model'!$D$462:$M$462</c:f>
            </c:numRef>
          </c:val>
          <c:smooth val="0"/>
          <c:extLst>
            <c:ext xmlns:c16="http://schemas.microsoft.com/office/drawing/2014/chart" uri="{C3380CC4-5D6E-409C-BE32-E72D297353CC}">
              <c16:uniqueId val="{00000003-347F-4548-9354-D6784DFB8383}"/>
            </c:ext>
          </c:extLst>
        </c:ser>
        <c:dLbls>
          <c:showLegendKey val="0"/>
          <c:showVal val="0"/>
          <c:showCatName val="0"/>
          <c:showSerName val="0"/>
          <c:showPercent val="0"/>
          <c:showBubbleSize val="0"/>
        </c:dLbls>
        <c:marker val="1"/>
        <c:smooth val="0"/>
        <c:axId val="381382616"/>
        <c:axId val="381386224"/>
      </c:lineChart>
      <c:catAx>
        <c:axId val="532227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532227288"/>
        <c:crosses val="autoZero"/>
        <c:auto val="1"/>
        <c:lblAlgn val="ctr"/>
        <c:lblOffset val="100"/>
        <c:noMultiLvlLbl val="0"/>
      </c:catAx>
      <c:valAx>
        <c:axId val="532227288"/>
        <c:scaling>
          <c:orientation val="minMax"/>
          <c:max val="8000"/>
        </c:scaling>
        <c:delete val="0"/>
        <c:axPos val="l"/>
        <c:numFmt formatCode="_-* #,##0_-;\(#,##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532227944"/>
        <c:crosses val="autoZero"/>
        <c:crossBetween val="between"/>
      </c:valAx>
      <c:valAx>
        <c:axId val="381386224"/>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381382616"/>
        <c:crosses val="max"/>
        <c:crossBetween val="between"/>
      </c:valAx>
      <c:catAx>
        <c:axId val="381382616"/>
        <c:scaling>
          <c:orientation val="minMax"/>
        </c:scaling>
        <c:delete val="1"/>
        <c:axPos val="b"/>
        <c:numFmt formatCode="0" sourceLinked="1"/>
        <c:majorTickMark val="out"/>
        <c:minorTickMark val="none"/>
        <c:tickLblPos val="nextTo"/>
        <c:crossAx val="3813862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P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'Business Valuation (DFC) Model'!$A$333</c:f>
              <c:strCache>
                <c:ptCount val="1"/>
                <c:pt idx="0">
                  <c:v> Revenue </c:v>
                </c:pt>
              </c:strCache>
            </c:strRef>
          </c:tx>
          <c:spPr>
            <a:solidFill>
              <a:schemeClr val="accent1"/>
            </a:solidFill>
            <a:ln>
              <a:noFill/>
            </a:ln>
            <a:effectLst/>
          </c:spPr>
          <c:invertIfNegative val="0"/>
          <c:val>
            <c:numRef>
              <c:f>'Business Valuation (DFC) Model'!$D$333:$M$333</c:f>
            </c:numRef>
          </c:val>
          <c:extLst>
            <c:ext xmlns:c15="http://schemas.microsoft.com/office/drawing/2012/chart" uri="{02D57815-91ED-43cb-92C2-25804820EDAC}">
              <c15:filteredCategoryTitle>
                <c15:cat>
                  <c:numRef>
                    <c:extLst>
                      <c:ext uri="{02D57815-91ED-43cb-92C2-25804820EDAC}">
                        <c15:formulaRef>
                          <c15:sqref>'Business Valuation (DFC) Model'!$D$331:$M$331</c15:sqref>
                        </c15:formulaRef>
                      </c:ext>
                    </c:extLst>
                  </c:numRef>
                </c15:cat>
              </c15:filteredCategoryTitle>
            </c:ext>
            <c:ext xmlns:c16="http://schemas.microsoft.com/office/drawing/2014/chart" uri="{C3380CC4-5D6E-409C-BE32-E72D297353CC}">
              <c16:uniqueId val="{00000004-E93B-4A70-A91A-B40F56D7E552}"/>
            </c:ext>
          </c:extLst>
        </c:ser>
        <c:dLbls>
          <c:showLegendKey val="0"/>
          <c:showVal val="0"/>
          <c:showCatName val="0"/>
          <c:showSerName val="0"/>
          <c:showPercent val="0"/>
          <c:showBubbleSize val="0"/>
        </c:dLbls>
        <c:gapWidth val="140"/>
        <c:axId val="630617760"/>
        <c:axId val="630619400"/>
      </c:barChart>
      <c:lineChart>
        <c:grouping val="standard"/>
        <c:varyColors val="0"/>
        <c:ser>
          <c:idx val="1"/>
          <c:order val="1"/>
          <c:tx>
            <c:strRef>
              <c:f>'Business Valuation (DFC) Model'!$A$341</c:f>
              <c:strCache>
                <c:ptCount val="1"/>
                <c:pt idx="0">
                  <c:v> EBITDA </c:v>
                </c:pt>
              </c:strCache>
            </c:strRef>
          </c:tx>
          <c:spPr>
            <a:ln w="28575" cap="rnd">
              <a:solidFill>
                <a:schemeClr val="accent2"/>
              </a:solidFill>
              <a:round/>
            </a:ln>
            <a:effectLst/>
          </c:spPr>
          <c:marker>
            <c:symbol val="none"/>
          </c:marker>
          <c:dLbls>
            <c:spPr>
              <a:solidFill>
                <a:schemeClr val="accent2">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P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'Business Valuation (DFC) Model'!$D$341:$M$341</c:f>
            </c:numRef>
          </c:val>
          <c:smooth val="0"/>
          <c:extLst>
            <c:ext xmlns:c15="http://schemas.microsoft.com/office/drawing/2012/chart" uri="{02D57815-91ED-43cb-92C2-25804820EDAC}">
              <c15:filteredCategoryTitle>
                <c15:cat>
                  <c:numRef>
                    <c:extLst>
                      <c:ext uri="{02D57815-91ED-43cb-92C2-25804820EDAC}">
                        <c15:formulaRef>
                          <c15:sqref>'Business Valuation (DFC) Model'!$D$331:$M$331</c15:sqref>
                        </c15:formulaRef>
                      </c:ext>
                    </c:extLst>
                  </c:numRef>
                </c15:cat>
              </c15:filteredCategoryTitle>
            </c:ext>
            <c:ext xmlns:c16="http://schemas.microsoft.com/office/drawing/2014/chart" uri="{C3380CC4-5D6E-409C-BE32-E72D297353CC}">
              <c16:uniqueId val="{00000005-E93B-4A70-A91A-B40F56D7E552}"/>
            </c:ext>
          </c:extLst>
        </c:ser>
        <c:ser>
          <c:idx val="2"/>
          <c:order val="2"/>
          <c:tx>
            <c:strRef>
              <c:f>'Business Valuation (DFC) Model'!$A$342</c:f>
              <c:strCache>
                <c:ptCount val="1"/>
                <c:pt idx="0">
                  <c:v> EBIT </c:v>
                </c:pt>
              </c:strCache>
            </c:strRef>
          </c:tx>
          <c:spPr>
            <a:ln w="28575" cap="rnd">
              <a:solidFill>
                <a:schemeClr val="accent3"/>
              </a:solidFill>
              <a:round/>
            </a:ln>
            <a:effectLst/>
          </c:spPr>
          <c:marker>
            <c:symbol val="none"/>
          </c:marker>
          <c:dLbls>
            <c:spPr>
              <a:solidFill>
                <a:schemeClr val="accent5">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PK"/>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'Business Valuation (DFC) Model'!$D$342:$M$342</c:f>
            </c:numRef>
          </c:val>
          <c:smooth val="0"/>
          <c:extLst>
            <c:ext xmlns:c15="http://schemas.microsoft.com/office/drawing/2012/chart" uri="{02D57815-91ED-43cb-92C2-25804820EDAC}">
              <c15:filteredCategoryTitle>
                <c15:cat>
                  <c:numRef>
                    <c:extLst>
                      <c:ext uri="{02D57815-91ED-43cb-92C2-25804820EDAC}">
                        <c15:formulaRef>
                          <c15:sqref>'Business Valuation (DFC) Model'!$D$331:$M$331</c15:sqref>
                        </c15:formulaRef>
                      </c:ext>
                    </c:extLst>
                  </c:numRef>
                </c15:cat>
              </c15:filteredCategoryTitle>
            </c:ext>
            <c:ext xmlns:c16="http://schemas.microsoft.com/office/drawing/2014/chart" uri="{C3380CC4-5D6E-409C-BE32-E72D297353CC}">
              <c16:uniqueId val="{00000007-E93B-4A70-A91A-B40F56D7E552}"/>
            </c:ext>
          </c:extLst>
        </c:ser>
        <c:dLbls>
          <c:showLegendKey val="0"/>
          <c:showVal val="0"/>
          <c:showCatName val="0"/>
          <c:showSerName val="0"/>
          <c:showPercent val="0"/>
          <c:showBubbleSize val="0"/>
        </c:dLbls>
        <c:marker val="1"/>
        <c:smooth val="0"/>
        <c:axId val="630617760"/>
        <c:axId val="630619400"/>
      </c:lineChart>
      <c:catAx>
        <c:axId val="63061776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630619400"/>
        <c:crosses val="autoZero"/>
        <c:auto val="1"/>
        <c:lblAlgn val="ctr"/>
        <c:lblOffset val="100"/>
        <c:noMultiLvlLbl val="0"/>
      </c:catAx>
      <c:valAx>
        <c:axId val="630619400"/>
        <c:scaling>
          <c:orientation val="minMax"/>
        </c:scaling>
        <c:delete val="0"/>
        <c:axPos val="l"/>
        <c:numFmt formatCode="_-* #,##0_-;\(#,##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630617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legend>
    <c:plotVisOnly val="1"/>
    <c:dispBlanksAs val="gap"/>
    <c:showDLblsOverMax val="0"/>
  </c:chart>
  <c:spPr>
    <a:solidFill>
      <a:schemeClr val="bg1"/>
    </a:solidFill>
    <a:ln w="9525" cap="flat" cmpd="sng" algn="ctr">
      <a:noFill/>
      <a:round/>
    </a:ln>
    <a:effectLst/>
  </c:spPr>
  <c:txPr>
    <a:bodyPr/>
    <a:lstStyle/>
    <a:p>
      <a:pPr>
        <a:defRPr/>
      </a:pPr>
      <a:endParaRPr lang="en-P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180914185577434E-2"/>
          <c:y val="6.0376630644433937E-2"/>
          <c:w val="0.8799248861629414"/>
          <c:h val="0.68755738836096125"/>
        </c:manualLayout>
      </c:layout>
      <c:lineChart>
        <c:grouping val="standard"/>
        <c:varyColors val="0"/>
        <c:ser>
          <c:idx val="0"/>
          <c:order val="0"/>
          <c:tx>
            <c:strRef>
              <c:f>'Business Valuation (DFC) Model'!$A$343</c:f>
              <c:strCache>
                <c:ptCount val="1"/>
                <c:pt idx="0">
                  <c:v> EBITDA Growth Rate </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PK"/>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'Business Valuation (DFC) Model'!$E$343:$M$343</c:f>
            </c:numRef>
          </c:val>
          <c:smooth val="0"/>
          <c:extLst>
            <c:ext xmlns:c15="http://schemas.microsoft.com/office/drawing/2012/chart" uri="{02D57815-91ED-43cb-92C2-25804820EDAC}">
              <c15:filteredCategoryTitle>
                <c15:cat>
                  <c:numRef>
                    <c:extLst>
                      <c:ext uri="{02D57815-91ED-43cb-92C2-25804820EDAC}">
                        <c15:formulaRef>
                          <c15:sqref>'Business Valuation (DFC) Model'!$E$331:$M$331</c15:sqref>
                        </c15:formulaRef>
                      </c:ext>
                    </c:extLst>
                  </c:numRef>
                </c15:cat>
              </c15:filteredCategoryTitle>
            </c:ext>
            <c:ext xmlns:c16="http://schemas.microsoft.com/office/drawing/2014/chart" uri="{C3380CC4-5D6E-409C-BE32-E72D297353CC}">
              <c16:uniqueId val="{00000003-1D63-4FEE-B0AF-CF3F8B100F1D}"/>
            </c:ext>
          </c:extLst>
        </c:ser>
        <c:ser>
          <c:idx val="1"/>
          <c:order val="1"/>
          <c:tx>
            <c:strRef>
              <c:f>'Business Valuation (DFC) Model'!$A$344</c:f>
              <c:strCache>
                <c:ptCount val="1"/>
                <c:pt idx="0">
                  <c:v> EBIT Growth Rate </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P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'Business Valuation (DFC) Model'!$E$344:$M$344</c:f>
            </c:numRef>
          </c:val>
          <c:smooth val="0"/>
          <c:extLst>
            <c:ext xmlns:c15="http://schemas.microsoft.com/office/drawing/2012/chart" uri="{02D57815-91ED-43cb-92C2-25804820EDAC}">
              <c15:filteredCategoryTitle>
                <c15:cat>
                  <c:numRef>
                    <c:extLst>
                      <c:ext uri="{02D57815-91ED-43cb-92C2-25804820EDAC}">
                        <c15:formulaRef>
                          <c15:sqref>'Business Valuation (DFC) Model'!$E$331:$M$331</c15:sqref>
                        </c15:formulaRef>
                      </c:ext>
                    </c:extLst>
                  </c:numRef>
                </c15:cat>
              </c15:filteredCategoryTitle>
            </c:ext>
            <c:ext xmlns:c16="http://schemas.microsoft.com/office/drawing/2014/chart" uri="{C3380CC4-5D6E-409C-BE32-E72D297353CC}">
              <c16:uniqueId val="{00000004-1D63-4FEE-B0AF-CF3F8B100F1D}"/>
            </c:ext>
          </c:extLst>
        </c:ser>
        <c:dLbls>
          <c:dLblPos val="t"/>
          <c:showLegendKey val="0"/>
          <c:showVal val="1"/>
          <c:showCatName val="0"/>
          <c:showSerName val="0"/>
          <c:showPercent val="0"/>
          <c:showBubbleSize val="0"/>
        </c:dLbls>
        <c:marker val="1"/>
        <c:smooth val="0"/>
        <c:axId val="576100680"/>
        <c:axId val="576101336"/>
      </c:lineChart>
      <c:catAx>
        <c:axId val="576100680"/>
        <c:scaling>
          <c:orientation val="minMax"/>
        </c:scaling>
        <c:delete val="0"/>
        <c:axPos val="b"/>
        <c:numFmt formatCode="0"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576101336"/>
        <c:crosses val="autoZero"/>
        <c:auto val="1"/>
        <c:lblAlgn val="ctr"/>
        <c:lblOffset val="100"/>
        <c:noMultiLvlLbl val="0"/>
      </c:catAx>
      <c:valAx>
        <c:axId val="57610133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576100680"/>
        <c:crosses val="autoZero"/>
        <c:crossBetween val="between"/>
      </c:valAx>
      <c:spPr>
        <a:noFill/>
        <a:ln>
          <a:noFill/>
        </a:ln>
        <a:effectLst/>
      </c:spPr>
    </c:plotArea>
    <c:legend>
      <c:legendPos val="b"/>
      <c:layout>
        <c:manualLayout>
          <c:xMode val="edge"/>
          <c:yMode val="edge"/>
          <c:x val="4.4988998800779195E-2"/>
          <c:y val="0.83787960375920756"/>
          <c:w val="0.58487216730470304"/>
          <c:h val="7.65362587820780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legend>
    <c:plotVisOnly val="1"/>
    <c:dispBlanksAs val="gap"/>
    <c:showDLblsOverMax val="0"/>
  </c:chart>
  <c:spPr>
    <a:solidFill>
      <a:schemeClr val="bg1"/>
    </a:solidFill>
    <a:ln w="9525" cap="flat" cmpd="sng" algn="ctr">
      <a:noFill/>
      <a:round/>
    </a:ln>
    <a:effectLst/>
  </c:spPr>
  <c:txPr>
    <a:bodyPr/>
    <a:lstStyle/>
    <a:p>
      <a:pPr>
        <a:defRPr/>
      </a:pPr>
      <a:endParaRPr lang="en-P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180914185577434E-2"/>
          <c:y val="6.0376630644433937E-2"/>
          <c:w val="0.8799248861629414"/>
          <c:h val="0.68755738836096125"/>
        </c:manualLayout>
      </c:layout>
      <c:lineChart>
        <c:grouping val="standard"/>
        <c:varyColors val="0"/>
        <c:ser>
          <c:idx val="0"/>
          <c:order val="0"/>
          <c:tx>
            <c:strRef>
              <c:f>'Business Valuation (DFC) Model'!$A$338</c:f>
              <c:strCache>
                <c:ptCount val="1"/>
                <c:pt idx="0">
                  <c:v> Revenue Growth Rate </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P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'Business Valuation (DFC) Model'!$E$338:$M$338</c:f>
            </c:numRef>
          </c:val>
          <c:smooth val="0"/>
          <c:extLst>
            <c:ext xmlns:c15="http://schemas.microsoft.com/office/drawing/2012/chart" uri="{02D57815-91ED-43cb-92C2-25804820EDAC}">
              <c15:filteredCategoryTitle>
                <c15:cat>
                  <c:numRef>
                    <c:extLst>
                      <c:ext uri="{02D57815-91ED-43cb-92C2-25804820EDAC}">
                        <c15:formulaRef>
                          <c15:sqref>'Business Valuation (DFC) Model'!$E$331:$M$331</c15:sqref>
                        </c15:formulaRef>
                      </c:ext>
                    </c:extLst>
                  </c:numRef>
                </c15:cat>
              </c15:filteredCategoryTitle>
            </c:ext>
            <c:ext xmlns:c16="http://schemas.microsoft.com/office/drawing/2014/chart" uri="{C3380CC4-5D6E-409C-BE32-E72D297353CC}">
              <c16:uniqueId val="{00000000-666C-4093-AC98-622975999B86}"/>
            </c:ext>
          </c:extLst>
        </c:ser>
        <c:ser>
          <c:idx val="5"/>
          <c:order val="1"/>
          <c:tx>
            <c:strRef>
              <c:f>'Business Valuation (DFC) Model'!$A$339</c:f>
              <c:strCache>
                <c:ptCount val="1"/>
                <c:pt idx="0">
                  <c:v> Gross Margin % Growth Rate </c:v>
                </c:pt>
              </c:strCache>
            </c:strRef>
          </c:tx>
          <c:spPr>
            <a:ln w="28575" cap="rnd">
              <a:solidFill>
                <a:schemeClr val="accent6"/>
              </a:solidFill>
              <a:round/>
            </a:ln>
            <a:effectLst/>
          </c:spPr>
          <c:marker>
            <c:symbol val="none"/>
          </c:marker>
          <c:val>
            <c:numRef>
              <c:f>'Business Valuation (DFC) Model'!$E$339:$M$339</c:f>
            </c:numRef>
          </c:val>
          <c:smooth val="0"/>
          <c:extLst>
            <c:ext xmlns:c15="http://schemas.microsoft.com/office/drawing/2012/chart" uri="{02D57815-91ED-43cb-92C2-25804820EDAC}">
              <c15:filteredCategoryTitle>
                <c15:cat>
                  <c:numRef>
                    <c:extLst>
                      <c:ext uri="{02D57815-91ED-43cb-92C2-25804820EDAC}">
                        <c15:formulaRef>
                          <c15:sqref>'Business Valuation (DFC) Model'!$E$331:$M$331</c15:sqref>
                        </c15:formulaRef>
                      </c:ext>
                    </c:extLst>
                  </c:numRef>
                </c15:cat>
              </c15:filteredCategoryTitle>
            </c:ext>
            <c:ext xmlns:c16="http://schemas.microsoft.com/office/drawing/2014/chart" uri="{C3380CC4-5D6E-409C-BE32-E72D297353CC}">
              <c16:uniqueId val="{00000005-A25F-436A-8847-64499B20EC25}"/>
            </c:ext>
          </c:extLst>
        </c:ser>
        <c:ser>
          <c:idx val="6"/>
          <c:order val="2"/>
          <c:tx>
            <c:strRef>
              <c:f>'Business Valuation (DFC) Model'!$A$340</c:f>
              <c:strCache>
                <c:ptCount val="1"/>
                <c:pt idx="0">
                  <c:v> Net Profit Margin % Growth Rate </c:v>
                </c:pt>
              </c:strCache>
            </c:strRef>
          </c:tx>
          <c:spPr>
            <a:ln w="28575" cap="rnd">
              <a:solidFill>
                <a:schemeClr val="accent1">
                  <a:lumMod val="60000"/>
                </a:schemeClr>
              </a:solidFill>
              <a:round/>
            </a:ln>
            <a:effectLst/>
          </c:spPr>
          <c:marker>
            <c:symbol val="none"/>
          </c:marker>
          <c:dLbls>
            <c:spPr>
              <a:solidFill>
                <a:schemeClr val="accent1">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PK"/>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'Business Valuation (DFC) Model'!$E$340:$M$340</c:f>
            </c:numRef>
          </c:val>
          <c:smooth val="0"/>
          <c:extLst>
            <c:ext xmlns:c15="http://schemas.microsoft.com/office/drawing/2012/chart" uri="{02D57815-91ED-43cb-92C2-25804820EDAC}">
              <c15:filteredCategoryTitle>
                <c15:cat>
                  <c:numRef>
                    <c:extLst>
                      <c:ext uri="{02D57815-91ED-43cb-92C2-25804820EDAC}">
                        <c15:formulaRef>
                          <c15:sqref>'Business Valuation (DFC) Model'!$E$331:$M$331</c15:sqref>
                        </c15:formulaRef>
                      </c:ext>
                    </c:extLst>
                  </c:numRef>
                </c15:cat>
              </c15:filteredCategoryTitle>
            </c:ext>
            <c:ext xmlns:c16="http://schemas.microsoft.com/office/drawing/2014/chart" uri="{C3380CC4-5D6E-409C-BE32-E72D297353CC}">
              <c16:uniqueId val="{00000006-A25F-436A-8847-64499B20EC25}"/>
            </c:ext>
          </c:extLst>
        </c:ser>
        <c:dLbls>
          <c:showLegendKey val="0"/>
          <c:showVal val="0"/>
          <c:showCatName val="0"/>
          <c:showSerName val="0"/>
          <c:showPercent val="0"/>
          <c:showBubbleSize val="0"/>
        </c:dLbls>
        <c:marker val="1"/>
        <c:smooth val="0"/>
        <c:axId val="576100680"/>
        <c:axId val="576101336"/>
      </c:lineChart>
      <c:catAx>
        <c:axId val="576100680"/>
        <c:scaling>
          <c:orientation val="minMax"/>
        </c:scaling>
        <c:delete val="0"/>
        <c:axPos val="b"/>
        <c:numFmt formatCode="0"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576101336"/>
        <c:crosses val="autoZero"/>
        <c:auto val="1"/>
        <c:lblAlgn val="ctr"/>
        <c:lblOffset val="100"/>
        <c:noMultiLvlLbl val="0"/>
      </c:catAx>
      <c:valAx>
        <c:axId val="57610133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576100680"/>
        <c:crosses val="autoZero"/>
        <c:crossBetween val="between"/>
      </c:valAx>
      <c:spPr>
        <a:noFill/>
        <a:ln>
          <a:noFill/>
        </a:ln>
        <a:effectLst/>
      </c:spPr>
    </c:plotArea>
    <c:legend>
      <c:legendPos val="b"/>
      <c:layout>
        <c:manualLayout>
          <c:xMode val="edge"/>
          <c:yMode val="edge"/>
          <c:x val="4.4988998800779195E-2"/>
          <c:y val="0.83787960375920756"/>
          <c:w val="0.74162721818099842"/>
          <c:h val="0.1385021954926881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legend>
    <c:plotVisOnly val="1"/>
    <c:dispBlanksAs val="gap"/>
    <c:showDLblsOverMax val="0"/>
  </c:chart>
  <c:spPr>
    <a:solidFill>
      <a:schemeClr val="bg1"/>
    </a:solidFill>
    <a:ln w="9525" cap="flat" cmpd="sng" algn="ctr">
      <a:noFill/>
      <a:round/>
    </a:ln>
    <a:effectLst/>
  </c:spPr>
  <c:txPr>
    <a:bodyPr/>
    <a:lstStyle/>
    <a:p>
      <a:pPr>
        <a:defRPr/>
      </a:pPr>
      <a:endParaRPr lang="en-P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'Business Valuation (DFC) Model'!$A$387</c:f>
              <c:strCache>
                <c:ptCount val="1"/>
                <c:pt idx="0">
                  <c:v> Quick Ratio </c:v>
                </c:pt>
              </c:strCache>
              <c:extLst xmlns:c15="http://schemas.microsoft.com/office/drawing/2012/chart"/>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PK"/>
              </a:p>
            </c:txPr>
            <c:dLblPos val="b"/>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'Business Valuation (DFC) Model'!$D$387:$M$387</c:f>
              <c:extLst xmlns:c15="http://schemas.microsoft.com/office/drawing/2012/chart"/>
            </c:numRef>
          </c:val>
          <c:smooth val="0"/>
          <c:extLst xmlns:c15="http://schemas.microsoft.com/office/drawing/2012/chart">
            <c:ext xmlns:c15="http://schemas.microsoft.com/office/drawing/2012/chart" uri="{02D57815-91ED-43cb-92C2-25804820EDAC}">
              <c15:filteredCategoryTitle>
                <c15:cat>
                  <c:numRef>
                    <c:extLst>
                      <c:ext uri="{02D57815-91ED-43cb-92C2-25804820EDAC}">
                        <c15:formulaRef>
                          <c15:sqref>'Business Valuation (DFC) Model'!$D$385:$M$385</c15:sqref>
                        </c15:formulaRef>
                      </c:ext>
                    </c:extLst>
                  </c:numRef>
                </c15:cat>
              </c15:filteredCategoryTitle>
            </c:ext>
            <c:ext xmlns:c16="http://schemas.microsoft.com/office/drawing/2014/chart" uri="{C3380CC4-5D6E-409C-BE32-E72D297353CC}">
              <c16:uniqueId val="{00000002-49B7-423C-81DD-514EE49DC5B3}"/>
            </c:ext>
          </c:extLst>
        </c:ser>
        <c:ser>
          <c:idx val="3"/>
          <c:order val="1"/>
          <c:tx>
            <c:strRef>
              <c:f>'Business Valuation (DFC) Model'!$A$388</c:f>
              <c:strCache>
                <c:ptCount val="1"/>
                <c:pt idx="0">
                  <c:v> Current Ratio </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P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'Business Valuation (DFC) Model'!$D$388:$M$388</c:f>
            </c:numRef>
          </c:val>
          <c:smooth val="0"/>
          <c:extLst>
            <c:ext xmlns:c15="http://schemas.microsoft.com/office/drawing/2012/chart" uri="{02D57815-91ED-43cb-92C2-25804820EDAC}">
              <c15:filteredCategoryTitle>
                <c15:cat>
                  <c:numRef>
                    <c:extLst>
                      <c:ext uri="{02D57815-91ED-43cb-92C2-25804820EDAC}">
                        <c15:formulaRef>
                          <c15:sqref>'Business Valuation (DFC) Model'!$D$385:$M$385</c15:sqref>
                        </c15:formulaRef>
                      </c:ext>
                    </c:extLst>
                  </c:numRef>
                </c15:cat>
              </c15:filteredCategoryTitle>
            </c:ext>
            <c:ext xmlns:c16="http://schemas.microsoft.com/office/drawing/2014/chart" uri="{C3380CC4-5D6E-409C-BE32-E72D297353CC}">
              <c16:uniqueId val="{00000003-49B7-423C-81DD-514EE49DC5B3}"/>
            </c:ext>
          </c:extLst>
        </c:ser>
        <c:dLbls>
          <c:dLblPos val="t"/>
          <c:showLegendKey val="0"/>
          <c:showVal val="1"/>
          <c:showCatName val="0"/>
          <c:showSerName val="0"/>
          <c:showPercent val="0"/>
          <c:showBubbleSize val="0"/>
        </c:dLbls>
        <c:marker val="1"/>
        <c:smooth val="0"/>
        <c:axId val="540361432"/>
        <c:axId val="540361104"/>
        <c:extLst/>
      </c:lineChart>
      <c:catAx>
        <c:axId val="54036143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540361104"/>
        <c:crosses val="autoZero"/>
        <c:auto val="1"/>
        <c:lblAlgn val="ctr"/>
        <c:lblOffset val="100"/>
        <c:noMultiLvlLbl val="0"/>
      </c:catAx>
      <c:valAx>
        <c:axId val="540361104"/>
        <c:scaling>
          <c:orientation val="minMax"/>
          <c:max val="21"/>
          <c:min val="0"/>
        </c:scaling>
        <c:delete val="0"/>
        <c:axPos val="l"/>
        <c:numFmt formatCode="_-* #,##0.0_-;\(#,##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540361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P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4"/>
          <c:order val="0"/>
          <c:tx>
            <c:strRef>
              <c:f>'Business Valuation (DFC) Model'!$A$389</c:f>
              <c:strCache>
                <c:ptCount val="1"/>
                <c:pt idx="0">
                  <c:v> Total Asset Turnover Ratio </c:v>
                </c:pt>
              </c:strCache>
              <c:extLst xmlns:c15="http://schemas.microsoft.com/office/drawing/2012/chart"/>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PK"/>
              </a:p>
            </c:txPr>
            <c:dLblPos val="b"/>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'Business Valuation (DFC) Model'!$D$389:$M$389</c:f>
              <c:extLst xmlns:c15="http://schemas.microsoft.com/office/drawing/2012/chart"/>
            </c:numRef>
          </c:val>
          <c:smooth val="0"/>
          <c:extLst xmlns:c15="http://schemas.microsoft.com/office/drawing/2012/chart">
            <c:ext xmlns:c15="http://schemas.microsoft.com/office/drawing/2012/chart" uri="{02D57815-91ED-43cb-92C2-25804820EDAC}">
              <c15:filteredCategoryTitle>
                <c15:cat>
                  <c:numRef>
                    <c:extLst>
                      <c:ext uri="{02D57815-91ED-43cb-92C2-25804820EDAC}">
                        <c15:formulaRef>
                          <c15:sqref>'Business Valuation (DFC) Model'!$D$385:$M$385</c15:sqref>
                        </c15:formulaRef>
                      </c:ext>
                    </c:extLst>
                  </c:numRef>
                </c15:cat>
              </c15:filteredCategoryTitle>
            </c:ext>
            <c:ext xmlns:c16="http://schemas.microsoft.com/office/drawing/2014/chart" uri="{C3380CC4-5D6E-409C-BE32-E72D297353CC}">
              <c16:uniqueId val="{00000001-B43C-4C17-8A18-523B19526836}"/>
            </c:ext>
          </c:extLst>
        </c:ser>
        <c:ser>
          <c:idx val="0"/>
          <c:order val="1"/>
          <c:tx>
            <c:strRef>
              <c:f>'Business Valuation (DFC) Model'!$A$391</c:f>
              <c:strCache>
                <c:ptCount val="1"/>
                <c:pt idx="0">
                  <c:v> PP&amp;E Turnover Ratio </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P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'Business Valuation (DFC) Model'!$D$391:$M$391</c:f>
            </c:numRef>
          </c:val>
          <c:smooth val="0"/>
          <c:extLst>
            <c:ext xmlns:c15="http://schemas.microsoft.com/office/drawing/2012/chart" uri="{02D57815-91ED-43cb-92C2-25804820EDAC}">
              <c15:filteredCategoryTitle>
                <c15:cat>
                  <c:numRef>
                    <c:extLst>
                      <c:ext uri="{02D57815-91ED-43cb-92C2-25804820EDAC}">
                        <c15:formulaRef>
                          <c15:sqref>'Business Valuation (DFC) Model'!$D$385:$M$385</c15:sqref>
                        </c15:formulaRef>
                      </c:ext>
                    </c:extLst>
                  </c:numRef>
                </c15:cat>
              </c15:filteredCategoryTitle>
            </c:ext>
            <c:ext xmlns:c16="http://schemas.microsoft.com/office/drawing/2014/chart" uri="{C3380CC4-5D6E-409C-BE32-E72D297353CC}">
              <c16:uniqueId val="{00000001-4AE7-4879-AD5B-AC9E4A6D2E67}"/>
            </c:ext>
          </c:extLst>
        </c:ser>
        <c:dLbls>
          <c:dLblPos val="t"/>
          <c:showLegendKey val="0"/>
          <c:showVal val="1"/>
          <c:showCatName val="0"/>
          <c:showSerName val="0"/>
          <c:showPercent val="0"/>
          <c:showBubbleSize val="0"/>
        </c:dLbls>
        <c:marker val="1"/>
        <c:smooth val="0"/>
        <c:axId val="540361432"/>
        <c:axId val="540361104"/>
        <c:extLst/>
      </c:lineChart>
      <c:catAx>
        <c:axId val="54036143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540361104"/>
        <c:crosses val="autoZero"/>
        <c:auto val="1"/>
        <c:lblAlgn val="ctr"/>
        <c:lblOffset val="100"/>
        <c:noMultiLvlLbl val="0"/>
      </c:catAx>
      <c:valAx>
        <c:axId val="540361104"/>
        <c:scaling>
          <c:orientation val="minMax"/>
          <c:max val="2"/>
          <c:min val="0"/>
        </c:scaling>
        <c:delete val="0"/>
        <c:axPos val="l"/>
        <c:numFmt formatCode="_-* #,##0.0_-;\(#,##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540361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P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'Business Valuation (DFC) Model'!$A$416</c:f>
              <c:strCache>
                <c:ptCount val="1"/>
                <c:pt idx="0">
                  <c:v> Inventory Days </c:v>
                </c:pt>
              </c:strCache>
            </c:strRef>
          </c:tx>
          <c:spPr>
            <a:solidFill>
              <a:schemeClr val="accent1"/>
            </a:solidFill>
            <a:ln>
              <a:noFill/>
            </a:ln>
            <a:effectLst/>
          </c:spPr>
          <c:invertIfNegative val="0"/>
          <c:val>
            <c:numRef>
              <c:f>'Business Valuation (DFC) Model'!$D$416:$M$416</c:f>
            </c:numRef>
          </c:val>
          <c:extLst>
            <c:ext xmlns:c15="http://schemas.microsoft.com/office/drawing/2012/chart" uri="{02D57815-91ED-43cb-92C2-25804820EDAC}">
              <c15:filteredCategoryTitle>
                <c15:cat>
                  <c:numRef>
                    <c:extLst>
                      <c:ext uri="{02D57815-91ED-43cb-92C2-25804820EDAC}">
                        <c15:formulaRef>
                          <c15:sqref>'Business Valuation (DFC) Model'!$D$413:$M$413</c15:sqref>
                        </c15:formulaRef>
                      </c:ext>
                    </c:extLst>
                  </c:numRef>
                </c15:cat>
              </c15:filteredCategoryTitle>
            </c:ext>
            <c:ext xmlns:c16="http://schemas.microsoft.com/office/drawing/2014/chart" uri="{C3380CC4-5D6E-409C-BE32-E72D297353CC}">
              <c16:uniqueId val="{0000000B-4A8E-4232-B7F8-E2F6A9FFD607}"/>
            </c:ext>
          </c:extLst>
        </c:ser>
        <c:ser>
          <c:idx val="1"/>
          <c:order val="1"/>
          <c:tx>
            <c:strRef>
              <c:f>'Business Valuation (DFC) Model'!$A$418</c:f>
              <c:strCache>
                <c:ptCount val="1"/>
                <c:pt idx="0">
                  <c:v> Accounts Receivable Days </c:v>
                </c:pt>
              </c:strCache>
            </c:strRef>
          </c:tx>
          <c:spPr>
            <a:solidFill>
              <a:schemeClr val="accent2"/>
            </a:solidFill>
            <a:ln>
              <a:noFill/>
            </a:ln>
            <a:effectLst/>
          </c:spPr>
          <c:invertIfNegative val="0"/>
          <c:val>
            <c:numRef>
              <c:f>'Business Valuation (DFC) Model'!$D$418:$M$418</c:f>
            </c:numRef>
          </c:val>
          <c:extLst>
            <c:ext xmlns:c15="http://schemas.microsoft.com/office/drawing/2012/chart" uri="{02D57815-91ED-43cb-92C2-25804820EDAC}">
              <c15:filteredCategoryTitle>
                <c15:cat>
                  <c:numRef>
                    <c:extLst>
                      <c:ext uri="{02D57815-91ED-43cb-92C2-25804820EDAC}">
                        <c15:formulaRef>
                          <c15:sqref>'Business Valuation (DFC) Model'!$D$413:$M$413</c15:sqref>
                        </c15:formulaRef>
                      </c:ext>
                    </c:extLst>
                  </c:numRef>
                </c15:cat>
              </c15:filteredCategoryTitle>
            </c:ext>
            <c:ext xmlns:c16="http://schemas.microsoft.com/office/drawing/2014/chart" uri="{C3380CC4-5D6E-409C-BE32-E72D297353CC}">
              <c16:uniqueId val="{0000000C-4A8E-4232-B7F8-E2F6A9FFD607}"/>
            </c:ext>
          </c:extLst>
        </c:ser>
        <c:ser>
          <c:idx val="2"/>
          <c:order val="2"/>
          <c:tx>
            <c:strRef>
              <c:f>'Business Valuation (DFC) Model'!$A$420</c:f>
              <c:strCache>
                <c:ptCount val="1"/>
                <c:pt idx="0">
                  <c:v> Accounts Payable Days </c:v>
                </c:pt>
              </c:strCache>
            </c:strRef>
          </c:tx>
          <c:spPr>
            <a:solidFill>
              <a:schemeClr val="accent3"/>
            </a:solidFill>
            <a:ln>
              <a:noFill/>
            </a:ln>
            <a:effectLst/>
          </c:spPr>
          <c:invertIfNegative val="0"/>
          <c:val>
            <c:numRef>
              <c:f>'Business Valuation (DFC) Model'!$D$420:$M$420</c:f>
            </c:numRef>
          </c:val>
          <c:extLst>
            <c:ext xmlns:c15="http://schemas.microsoft.com/office/drawing/2012/chart" uri="{02D57815-91ED-43cb-92C2-25804820EDAC}">
              <c15:filteredCategoryTitle>
                <c15:cat>
                  <c:numRef>
                    <c:extLst>
                      <c:ext uri="{02D57815-91ED-43cb-92C2-25804820EDAC}">
                        <c15:formulaRef>
                          <c15:sqref>'Business Valuation (DFC) Model'!$D$413:$M$413</c15:sqref>
                        </c15:formulaRef>
                      </c:ext>
                    </c:extLst>
                  </c:numRef>
                </c15:cat>
              </c15:filteredCategoryTitle>
            </c:ext>
            <c:ext xmlns:c16="http://schemas.microsoft.com/office/drawing/2014/chart" uri="{C3380CC4-5D6E-409C-BE32-E72D297353CC}">
              <c16:uniqueId val="{0000000D-4A8E-4232-B7F8-E2F6A9FFD607}"/>
            </c:ext>
          </c:extLst>
        </c:ser>
        <c:dLbls>
          <c:showLegendKey val="0"/>
          <c:showVal val="0"/>
          <c:showCatName val="0"/>
          <c:showSerName val="0"/>
          <c:showPercent val="0"/>
          <c:showBubbleSize val="0"/>
        </c:dLbls>
        <c:gapWidth val="140"/>
        <c:axId val="547744448"/>
        <c:axId val="547741496"/>
      </c:barChart>
      <c:lineChart>
        <c:grouping val="standard"/>
        <c:varyColors val="0"/>
        <c:ser>
          <c:idx val="3"/>
          <c:order val="3"/>
          <c:tx>
            <c:strRef>
              <c:f>'Business Valuation (DFC) Model'!$A$415</c:f>
              <c:strCache>
                <c:ptCount val="1"/>
                <c:pt idx="0">
                  <c:v> Inventory Turnover Ratio </c:v>
                </c:pt>
              </c:strCache>
            </c:strRef>
          </c:tx>
          <c:spPr>
            <a:ln w="28575" cap="rnd">
              <a:solidFill>
                <a:schemeClr val="accent4"/>
              </a:solidFill>
              <a:round/>
            </a:ln>
            <a:effectLst/>
          </c:spPr>
          <c:marker>
            <c:symbol val="none"/>
          </c:marker>
          <c:dLbls>
            <c:spPr>
              <a:solidFill>
                <a:schemeClr val="accent4">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P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'Business Valuation (DFC) Model'!$D$415:$M$415</c:f>
            </c:numRef>
          </c:val>
          <c:smooth val="0"/>
          <c:extLst>
            <c:ext xmlns:c16="http://schemas.microsoft.com/office/drawing/2014/chart" uri="{C3380CC4-5D6E-409C-BE32-E72D297353CC}">
              <c16:uniqueId val="{0000000E-4A8E-4232-B7F8-E2F6A9FFD607}"/>
            </c:ext>
          </c:extLst>
        </c:ser>
        <c:ser>
          <c:idx val="4"/>
          <c:order val="4"/>
          <c:tx>
            <c:strRef>
              <c:f>'Business Valuation (DFC) Model'!$A$417</c:f>
              <c:strCache>
                <c:ptCount val="1"/>
                <c:pt idx="0">
                  <c:v> Accounts Receivable Ratio </c:v>
                </c:pt>
              </c:strCache>
            </c:strRef>
          </c:tx>
          <c:spPr>
            <a:ln w="28575" cap="rnd">
              <a:solidFill>
                <a:schemeClr val="accent5"/>
              </a:solidFill>
              <a:round/>
            </a:ln>
            <a:effectLst/>
          </c:spPr>
          <c:marker>
            <c:symbol val="none"/>
          </c:marker>
          <c:val>
            <c:numRef>
              <c:f>'Business Valuation (DFC) Model'!$D$417:$M$417</c:f>
            </c:numRef>
          </c:val>
          <c:smooth val="0"/>
          <c:extLst>
            <c:ext xmlns:c16="http://schemas.microsoft.com/office/drawing/2014/chart" uri="{C3380CC4-5D6E-409C-BE32-E72D297353CC}">
              <c16:uniqueId val="{0000000F-4A8E-4232-B7F8-E2F6A9FFD607}"/>
            </c:ext>
          </c:extLst>
        </c:ser>
        <c:ser>
          <c:idx val="5"/>
          <c:order val="5"/>
          <c:tx>
            <c:strRef>
              <c:f>'Business Valuation (DFC) Model'!$A$419</c:f>
              <c:strCache>
                <c:ptCount val="1"/>
                <c:pt idx="0">
                  <c:v> Accounts Payable Ratio </c:v>
                </c:pt>
              </c:strCache>
            </c:strRef>
          </c:tx>
          <c:spPr>
            <a:ln w="28575" cap="rnd">
              <a:solidFill>
                <a:schemeClr val="accent6"/>
              </a:solidFill>
              <a:round/>
            </a:ln>
            <a:effectLst/>
          </c:spPr>
          <c:marker>
            <c:symbol val="none"/>
          </c:marker>
          <c:val>
            <c:numRef>
              <c:f>'Business Valuation (DFC) Model'!$D$419:$M$419</c:f>
            </c:numRef>
          </c:val>
          <c:smooth val="0"/>
          <c:extLst>
            <c:ext xmlns:c16="http://schemas.microsoft.com/office/drawing/2014/chart" uri="{C3380CC4-5D6E-409C-BE32-E72D297353CC}">
              <c16:uniqueId val="{00000010-4A8E-4232-B7F8-E2F6A9FFD607}"/>
            </c:ext>
          </c:extLst>
        </c:ser>
        <c:dLbls>
          <c:showLegendKey val="0"/>
          <c:showVal val="0"/>
          <c:showCatName val="0"/>
          <c:showSerName val="0"/>
          <c:showPercent val="0"/>
          <c:showBubbleSize val="0"/>
        </c:dLbls>
        <c:marker val="1"/>
        <c:smooth val="0"/>
        <c:axId val="542815880"/>
        <c:axId val="531953408"/>
      </c:lineChart>
      <c:catAx>
        <c:axId val="54774444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547741496"/>
        <c:crosses val="autoZero"/>
        <c:auto val="1"/>
        <c:lblAlgn val="ctr"/>
        <c:lblOffset val="100"/>
        <c:noMultiLvlLbl val="0"/>
      </c:catAx>
      <c:valAx>
        <c:axId val="547741496"/>
        <c:scaling>
          <c:orientation val="minMax"/>
          <c:max val="50"/>
        </c:scaling>
        <c:delete val="0"/>
        <c:axPos val="l"/>
        <c:numFmt formatCode="_-* #,##0.0_-;\(#,##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547744448"/>
        <c:crosses val="autoZero"/>
        <c:crossBetween val="between"/>
      </c:valAx>
      <c:valAx>
        <c:axId val="531953408"/>
        <c:scaling>
          <c:orientation val="minMax"/>
          <c:min val="6"/>
        </c:scaling>
        <c:delete val="0"/>
        <c:axPos val="r"/>
        <c:numFmt formatCode="_-* #,##0.0_-;\(#,##0.0\)_-;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542815880"/>
        <c:crosses val="max"/>
        <c:crossBetween val="between"/>
      </c:valAx>
      <c:catAx>
        <c:axId val="542815880"/>
        <c:scaling>
          <c:orientation val="minMax"/>
        </c:scaling>
        <c:delete val="1"/>
        <c:axPos val="b"/>
        <c:majorTickMark val="out"/>
        <c:minorTickMark val="none"/>
        <c:tickLblPos val="nextTo"/>
        <c:crossAx val="53195340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P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'Business Valuation (DFC) Model'!$A$423</c:f>
              <c:strCache>
                <c:ptCount val="1"/>
                <c:pt idx="0">
                  <c:v> PP&amp;E </c:v>
                </c:pt>
              </c:strCache>
            </c:strRef>
          </c:tx>
          <c:spPr>
            <a:solidFill>
              <a:schemeClr val="accent1"/>
            </a:solidFill>
            <a:ln>
              <a:noFill/>
            </a:ln>
            <a:effectLst/>
          </c:spPr>
          <c:invertIfNegative val="0"/>
          <c:val>
            <c:numRef>
              <c:f>'Business Valuation (DFC) Model'!$D$423:$M$423</c:f>
            </c:numRef>
          </c:val>
          <c:extLst>
            <c:ext xmlns:c15="http://schemas.microsoft.com/office/drawing/2012/chart" uri="{02D57815-91ED-43cb-92C2-25804820EDAC}">
              <c15:filteredCategoryTitle>
                <c15:cat>
                  <c:numRef>
                    <c:extLst>
                      <c:ext uri="{02D57815-91ED-43cb-92C2-25804820EDAC}">
                        <c15:formulaRef>
                          <c15:sqref>'Business Valuation (DFC) Model'!$D$413:$M$413</c15:sqref>
                        </c15:formulaRef>
                      </c:ext>
                    </c:extLst>
                  </c:numRef>
                </c15:cat>
              </c15:filteredCategoryTitle>
            </c:ext>
            <c:ext xmlns:c16="http://schemas.microsoft.com/office/drawing/2014/chart" uri="{C3380CC4-5D6E-409C-BE32-E72D297353CC}">
              <c16:uniqueId val="{00000006-37C9-4F98-BDDB-8843FBCC1922}"/>
            </c:ext>
          </c:extLst>
        </c:ser>
        <c:ser>
          <c:idx val="1"/>
          <c:order val="1"/>
          <c:tx>
            <c:strRef>
              <c:f>'Business Valuation (DFC) Model'!$A$424</c:f>
              <c:strCache>
                <c:ptCount val="1"/>
                <c:pt idx="0">
                  <c:v> Net Working Capital </c:v>
                </c:pt>
              </c:strCache>
            </c:strRef>
          </c:tx>
          <c:spPr>
            <a:solidFill>
              <a:schemeClr val="accent2"/>
            </a:solidFill>
            <a:ln>
              <a:noFill/>
            </a:ln>
            <a:effectLst/>
          </c:spPr>
          <c:invertIfNegative val="0"/>
          <c:val>
            <c:numRef>
              <c:f>'Business Valuation (DFC) Model'!$D$424:$M$424</c:f>
            </c:numRef>
          </c:val>
          <c:extLst>
            <c:ext xmlns:c15="http://schemas.microsoft.com/office/drawing/2012/chart" uri="{02D57815-91ED-43cb-92C2-25804820EDAC}">
              <c15:filteredCategoryTitle>
                <c15:cat>
                  <c:numRef>
                    <c:extLst>
                      <c:ext uri="{02D57815-91ED-43cb-92C2-25804820EDAC}">
                        <c15:formulaRef>
                          <c15:sqref>'Business Valuation (DFC) Model'!$D$413:$M$413</c15:sqref>
                        </c15:formulaRef>
                      </c:ext>
                    </c:extLst>
                  </c:numRef>
                </c15:cat>
              </c15:filteredCategoryTitle>
            </c:ext>
            <c:ext xmlns:c16="http://schemas.microsoft.com/office/drawing/2014/chart" uri="{C3380CC4-5D6E-409C-BE32-E72D297353CC}">
              <c16:uniqueId val="{00000007-37C9-4F98-BDDB-8843FBCC1922}"/>
            </c:ext>
          </c:extLst>
        </c:ser>
        <c:dLbls>
          <c:showLegendKey val="0"/>
          <c:showVal val="0"/>
          <c:showCatName val="0"/>
          <c:showSerName val="0"/>
          <c:showPercent val="0"/>
          <c:showBubbleSize val="0"/>
        </c:dLbls>
        <c:gapWidth val="120"/>
        <c:axId val="547744448"/>
        <c:axId val="547741496"/>
      </c:barChart>
      <c:lineChart>
        <c:grouping val="standard"/>
        <c:varyColors val="0"/>
        <c:ser>
          <c:idx val="2"/>
          <c:order val="2"/>
          <c:tx>
            <c:strRef>
              <c:f>'Business Valuation (DFC) Model'!$A$421</c:f>
              <c:strCache>
                <c:ptCount val="1"/>
                <c:pt idx="0">
                  <c:v> PP&amp;E Turnover Ratio </c:v>
                </c:pt>
              </c:strCache>
            </c:strRef>
          </c:tx>
          <c:spPr>
            <a:ln w="28575" cap="rnd">
              <a:solidFill>
                <a:schemeClr val="accent3"/>
              </a:solidFill>
              <a:round/>
            </a:ln>
            <a:effectLst/>
          </c:spPr>
          <c:marker>
            <c:symbol val="none"/>
          </c:marker>
          <c:val>
            <c:numRef>
              <c:f>'Business Valuation (DFC) Model'!$D$421:$M$421</c:f>
            </c:numRef>
          </c:val>
          <c:smooth val="0"/>
          <c:extLst>
            <c:ext xmlns:c15="http://schemas.microsoft.com/office/drawing/2012/chart" uri="{02D57815-91ED-43cb-92C2-25804820EDAC}">
              <c15:filteredCategoryTitle>
                <c15:cat>
                  <c:numRef>
                    <c:extLst>
                      <c:ext uri="{02D57815-91ED-43cb-92C2-25804820EDAC}">
                        <c15:formulaRef>
                          <c15:sqref>'Business Valuation (DFC) Model'!$D$413:$M$413</c15:sqref>
                        </c15:formulaRef>
                      </c:ext>
                    </c:extLst>
                  </c:numRef>
                </c15:cat>
              </c15:filteredCategoryTitle>
            </c:ext>
            <c:ext xmlns:c16="http://schemas.microsoft.com/office/drawing/2014/chart" uri="{C3380CC4-5D6E-409C-BE32-E72D297353CC}">
              <c16:uniqueId val="{00000008-37C9-4F98-BDDB-8843FBCC1922}"/>
            </c:ext>
          </c:extLst>
        </c:ser>
        <c:ser>
          <c:idx val="3"/>
          <c:order val="3"/>
          <c:tx>
            <c:strRef>
              <c:f>'Business Valuation (DFC) Model'!$A$422</c:f>
              <c:strCache>
                <c:ptCount val="1"/>
                <c:pt idx="0">
                  <c:v> Working Capital Turnover </c:v>
                </c:pt>
              </c:strCache>
            </c:strRef>
          </c:tx>
          <c:spPr>
            <a:ln w="28575" cap="rnd">
              <a:solidFill>
                <a:schemeClr val="accent4"/>
              </a:solidFill>
              <a:round/>
            </a:ln>
            <a:effectLst/>
          </c:spPr>
          <c:marker>
            <c:symbol val="none"/>
          </c:marker>
          <c:dLbls>
            <c:spPr>
              <a:solidFill>
                <a:schemeClr val="accent4">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P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'Business Valuation (DFC) Model'!$D$422:$M$422</c:f>
            </c:numRef>
          </c:val>
          <c:smooth val="0"/>
          <c:extLst>
            <c:ext xmlns:c15="http://schemas.microsoft.com/office/drawing/2012/chart" uri="{02D57815-91ED-43cb-92C2-25804820EDAC}">
              <c15:filteredCategoryTitle>
                <c15:cat>
                  <c:numRef>
                    <c:extLst>
                      <c:ext uri="{02D57815-91ED-43cb-92C2-25804820EDAC}">
                        <c15:formulaRef>
                          <c15:sqref>'Business Valuation (DFC) Model'!$D$413:$M$413</c15:sqref>
                        </c15:formulaRef>
                      </c:ext>
                    </c:extLst>
                  </c:numRef>
                </c15:cat>
              </c15:filteredCategoryTitle>
            </c:ext>
            <c:ext xmlns:c16="http://schemas.microsoft.com/office/drawing/2014/chart" uri="{C3380CC4-5D6E-409C-BE32-E72D297353CC}">
              <c16:uniqueId val="{00000009-37C9-4F98-BDDB-8843FBCC1922}"/>
            </c:ext>
          </c:extLst>
        </c:ser>
        <c:dLbls>
          <c:showLegendKey val="0"/>
          <c:showVal val="0"/>
          <c:showCatName val="0"/>
          <c:showSerName val="0"/>
          <c:showPercent val="0"/>
          <c:showBubbleSize val="0"/>
        </c:dLbls>
        <c:marker val="1"/>
        <c:smooth val="0"/>
        <c:axId val="534556264"/>
        <c:axId val="534555936"/>
      </c:lineChart>
      <c:catAx>
        <c:axId val="54774444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547741496"/>
        <c:crosses val="autoZero"/>
        <c:auto val="1"/>
        <c:lblAlgn val="ctr"/>
        <c:lblOffset val="100"/>
        <c:noMultiLvlLbl val="0"/>
      </c:catAx>
      <c:valAx>
        <c:axId val="547741496"/>
        <c:scaling>
          <c:orientation val="minMax"/>
          <c:max val="24000"/>
          <c:min val="0"/>
        </c:scaling>
        <c:delete val="0"/>
        <c:axPos val="l"/>
        <c:numFmt formatCode="_-* #,##0_-;\(#,##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547744448"/>
        <c:crosses val="autoZero"/>
        <c:crossBetween val="between"/>
        <c:majorUnit val="3000"/>
      </c:valAx>
      <c:valAx>
        <c:axId val="534555936"/>
        <c:scaling>
          <c:orientation val="minMax"/>
          <c:max val="16"/>
        </c:scaling>
        <c:delete val="0"/>
        <c:axPos val="r"/>
        <c:numFmt formatCode="_-* #,##0.0_-;\(#,##0.0\)_-;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534556264"/>
        <c:crosses val="max"/>
        <c:crossBetween val="between"/>
      </c:valAx>
      <c:catAx>
        <c:axId val="534556264"/>
        <c:scaling>
          <c:orientation val="minMax"/>
        </c:scaling>
        <c:delete val="1"/>
        <c:axPos val="b"/>
        <c:numFmt formatCode="0" sourceLinked="1"/>
        <c:majorTickMark val="out"/>
        <c:minorTickMark val="none"/>
        <c:tickLblPos val="nextTo"/>
        <c:crossAx val="53455593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P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0"/>
          <c:tx>
            <c:strRef>
              <c:f>'Business Valuation (DFC) Model'!$A$449</c:f>
              <c:strCache>
                <c:ptCount val="1"/>
                <c:pt idx="0">
                  <c:v> Total Debt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P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'Business Valuation (DFC) Model'!$D$449:$M$449</c:f>
            </c:numRef>
          </c:val>
          <c:extLst>
            <c:ext xmlns:c15="http://schemas.microsoft.com/office/drawing/2012/chart" uri="{02D57815-91ED-43cb-92C2-25804820EDAC}">
              <c15:filteredCategoryTitle>
                <c15:cat>
                  <c:numRef>
                    <c:extLst>
                      <c:ext uri="{02D57815-91ED-43cb-92C2-25804820EDAC}">
                        <c15:formulaRef>
                          <c15:sqref>'Business Valuation (DFC) Model'!$D$447:$M$447</c15:sqref>
                        </c15:formulaRef>
                      </c:ext>
                    </c:extLst>
                  </c:numRef>
                </c15:cat>
              </c15:filteredCategoryTitle>
            </c:ext>
            <c:ext xmlns:c16="http://schemas.microsoft.com/office/drawing/2014/chart" uri="{C3380CC4-5D6E-409C-BE32-E72D297353CC}">
              <c16:uniqueId val="{00000002-1BCF-4C86-9E1B-3620B9DB92B4}"/>
            </c:ext>
          </c:extLst>
        </c:ser>
        <c:ser>
          <c:idx val="3"/>
          <c:order val="1"/>
          <c:tx>
            <c:strRef>
              <c:f>'Business Valuation (DFC) Model'!$A$450</c:f>
              <c:strCache>
                <c:ptCount val="1"/>
                <c:pt idx="0">
                  <c:v> Total Equity </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P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'Business Valuation (DFC) Model'!$D$450:$M$450</c:f>
            </c:numRef>
          </c:val>
          <c:extLst>
            <c:ext xmlns:c15="http://schemas.microsoft.com/office/drawing/2012/chart" uri="{02D57815-91ED-43cb-92C2-25804820EDAC}">
              <c15:filteredCategoryTitle>
                <c15:cat>
                  <c:numRef>
                    <c:extLst>
                      <c:ext uri="{02D57815-91ED-43cb-92C2-25804820EDAC}">
                        <c15:formulaRef>
                          <c15:sqref>'Business Valuation (DFC) Model'!$D$447:$M$447</c15:sqref>
                        </c15:formulaRef>
                      </c:ext>
                    </c:extLst>
                  </c:numRef>
                </c15:cat>
              </c15:filteredCategoryTitle>
            </c:ext>
            <c:ext xmlns:c16="http://schemas.microsoft.com/office/drawing/2014/chart" uri="{C3380CC4-5D6E-409C-BE32-E72D297353CC}">
              <c16:uniqueId val="{00000003-1BCF-4C86-9E1B-3620B9DB92B4}"/>
            </c:ext>
          </c:extLst>
        </c:ser>
        <c:dLbls>
          <c:showLegendKey val="0"/>
          <c:showVal val="1"/>
          <c:showCatName val="0"/>
          <c:showSerName val="0"/>
          <c:showPercent val="0"/>
          <c:showBubbleSize val="0"/>
        </c:dLbls>
        <c:gapWidth val="140"/>
        <c:overlap val="100"/>
        <c:axId val="532227944"/>
        <c:axId val="532227288"/>
      </c:barChart>
      <c:lineChart>
        <c:grouping val="standard"/>
        <c:varyColors val="0"/>
        <c:ser>
          <c:idx val="4"/>
          <c:order val="2"/>
          <c:tx>
            <c:strRef>
              <c:f>'Business Valuation (DFC) Model'!$A$451</c:f>
              <c:strCache>
                <c:ptCount val="1"/>
                <c:pt idx="0">
                  <c:v> Debt to Equity </c:v>
                </c:pt>
              </c:strCache>
            </c:strRef>
          </c:tx>
          <c:spPr>
            <a:ln w="28575" cap="rnd">
              <a:solidFill>
                <a:schemeClr val="accent5"/>
              </a:solidFill>
              <a:round/>
            </a:ln>
            <a:effectLst/>
          </c:spPr>
          <c:marker>
            <c:symbol val="none"/>
          </c:marker>
          <c:dLbls>
            <c:spPr>
              <a:solidFill>
                <a:schemeClr val="accent1">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P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'Business Valuation (DFC) Model'!$D$451:$M$451</c:f>
            </c:numRef>
          </c:val>
          <c:smooth val="0"/>
          <c:extLst>
            <c:ext xmlns:c16="http://schemas.microsoft.com/office/drawing/2014/chart" uri="{C3380CC4-5D6E-409C-BE32-E72D297353CC}">
              <c16:uniqueId val="{00000004-1BCF-4C86-9E1B-3620B9DB92B4}"/>
            </c:ext>
          </c:extLst>
        </c:ser>
        <c:dLbls>
          <c:showLegendKey val="0"/>
          <c:showVal val="1"/>
          <c:showCatName val="0"/>
          <c:showSerName val="0"/>
          <c:showPercent val="0"/>
          <c:showBubbleSize val="0"/>
        </c:dLbls>
        <c:marker val="1"/>
        <c:smooth val="0"/>
        <c:axId val="271614224"/>
        <c:axId val="271614880"/>
      </c:lineChart>
      <c:catAx>
        <c:axId val="53222794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532227288"/>
        <c:crosses val="autoZero"/>
        <c:auto val="1"/>
        <c:lblAlgn val="ctr"/>
        <c:lblOffset val="100"/>
        <c:noMultiLvlLbl val="0"/>
      </c:catAx>
      <c:valAx>
        <c:axId val="532227288"/>
        <c:scaling>
          <c:orientation val="minMax"/>
          <c:max val="40000"/>
        </c:scaling>
        <c:delete val="0"/>
        <c:axPos val="l"/>
        <c:numFmt formatCode="_-* #,##0_-;\(#,##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532227944"/>
        <c:crosses val="autoZero"/>
        <c:crossBetween val="between"/>
      </c:valAx>
      <c:valAx>
        <c:axId val="271614880"/>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271614224"/>
        <c:crosses val="max"/>
        <c:crossBetween val="between"/>
      </c:valAx>
      <c:catAx>
        <c:axId val="271614224"/>
        <c:scaling>
          <c:orientation val="minMax"/>
        </c:scaling>
        <c:delete val="1"/>
        <c:axPos val="b"/>
        <c:majorTickMark val="out"/>
        <c:minorTickMark val="none"/>
        <c:tickLblPos val="nextTo"/>
        <c:crossAx val="27161488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P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'Business Valuation (DFC) Model'!$A$457</c:f>
              <c:strCache>
                <c:ptCount val="1"/>
                <c:pt idx="0">
                  <c:v> EBITDA </c:v>
                </c:pt>
              </c:strCache>
            </c:strRef>
          </c:tx>
          <c:spPr>
            <a:solidFill>
              <a:schemeClr val="accent1"/>
            </a:solidFill>
            <a:ln>
              <a:noFill/>
            </a:ln>
            <a:effectLst/>
          </c:spPr>
          <c:invertIfNegative val="0"/>
          <c:dLbls>
            <c:delete val="1"/>
          </c:dLbls>
          <c:val>
            <c:numRef>
              <c:f>'Business Valuation (DFC) Model'!$D$457:$M$457</c:f>
            </c:numRef>
          </c:val>
          <c:extLst>
            <c:ext xmlns:c15="http://schemas.microsoft.com/office/drawing/2012/chart" uri="{02D57815-91ED-43cb-92C2-25804820EDAC}">
              <c15:filteredCategoryTitle>
                <c15:cat>
                  <c:numRef>
                    <c:extLst>
                      <c:ext uri="{02D57815-91ED-43cb-92C2-25804820EDAC}">
                        <c15:formulaRef>
                          <c15:sqref>'Business Valuation (DFC) Model'!$D$447:$M$447</c15:sqref>
                        </c15:formulaRef>
                      </c:ext>
                    </c:extLst>
                  </c:numRef>
                </c15:cat>
              </c15:filteredCategoryTitle>
            </c:ext>
            <c:ext xmlns:c16="http://schemas.microsoft.com/office/drawing/2014/chart" uri="{C3380CC4-5D6E-409C-BE32-E72D297353CC}">
              <c16:uniqueId val="{00000003-538A-471A-8C33-134A7EC68BB6}"/>
            </c:ext>
          </c:extLst>
        </c:ser>
        <c:dLbls>
          <c:showLegendKey val="0"/>
          <c:showVal val="1"/>
          <c:showCatName val="0"/>
          <c:showSerName val="0"/>
          <c:showPercent val="0"/>
          <c:showBubbleSize val="0"/>
        </c:dLbls>
        <c:gapWidth val="150"/>
        <c:axId val="532227944"/>
        <c:axId val="532227288"/>
      </c:barChart>
      <c:lineChart>
        <c:grouping val="standard"/>
        <c:varyColors val="0"/>
        <c:ser>
          <c:idx val="1"/>
          <c:order val="1"/>
          <c:tx>
            <c:strRef>
              <c:f>'Business Valuation (DFC) Model'!$A$456</c:f>
              <c:strCache>
                <c:ptCount val="1"/>
                <c:pt idx="0">
                  <c:v> Debt to EBITDA </c:v>
                </c:pt>
              </c:strCache>
            </c:strRef>
          </c:tx>
          <c:spPr>
            <a:ln w="28575" cap="rnd">
              <a:solidFill>
                <a:schemeClr val="accent2"/>
              </a:solidFill>
              <a:round/>
            </a:ln>
            <a:effectLst/>
          </c:spPr>
          <c:marker>
            <c:symbol val="none"/>
          </c:marker>
          <c:dLbls>
            <c:spPr>
              <a:solidFill>
                <a:schemeClr val="accent2">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P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'Business Valuation (DFC) Model'!$D$456:$M$456</c:f>
            </c:numRef>
          </c:val>
          <c:smooth val="0"/>
          <c:extLst>
            <c:ext xmlns:c15="http://schemas.microsoft.com/office/drawing/2012/chart" uri="{02D57815-91ED-43cb-92C2-25804820EDAC}">
              <c15:filteredCategoryTitle>
                <c15:cat>
                  <c:numRef>
                    <c:extLst>
                      <c:ext uri="{02D57815-91ED-43cb-92C2-25804820EDAC}">
                        <c15:formulaRef>
                          <c15:sqref>'Business Valuation (DFC) Model'!$D$447:$M$447</c15:sqref>
                        </c15:formulaRef>
                      </c:ext>
                    </c:extLst>
                  </c:numRef>
                </c15:cat>
              </c15:filteredCategoryTitle>
            </c:ext>
            <c:ext xmlns:c16="http://schemas.microsoft.com/office/drawing/2014/chart" uri="{C3380CC4-5D6E-409C-BE32-E72D297353CC}">
              <c16:uniqueId val="{00000004-538A-471A-8C33-134A7EC68BB6}"/>
            </c:ext>
          </c:extLst>
        </c:ser>
        <c:dLbls>
          <c:showLegendKey val="0"/>
          <c:showVal val="0"/>
          <c:showCatName val="0"/>
          <c:showSerName val="0"/>
          <c:showPercent val="0"/>
          <c:showBubbleSize val="0"/>
        </c:dLbls>
        <c:marker val="1"/>
        <c:smooth val="0"/>
        <c:axId val="647327224"/>
        <c:axId val="647328536"/>
      </c:lineChart>
      <c:catAx>
        <c:axId val="53222794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532227288"/>
        <c:crosses val="autoZero"/>
        <c:auto val="1"/>
        <c:lblAlgn val="ctr"/>
        <c:lblOffset val="100"/>
        <c:noMultiLvlLbl val="0"/>
      </c:catAx>
      <c:valAx>
        <c:axId val="532227288"/>
        <c:scaling>
          <c:orientation val="minMax"/>
          <c:max val="11000"/>
          <c:min val="5000"/>
        </c:scaling>
        <c:delete val="0"/>
        <c:axPos val="l"/>
        <c:numFmt formatCode="_-* #,##0_-;\(#,##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532227944"/>
        <c:crosses val="autoZero"/>
        <c:crossBetween val="between"/>
      </c:valAx>
      <c:valAx>
        <c:axId val="647328536"/>
        <c:scaling>
          <c:orientation val="minMax"/>
        </c:scaling>
        <c:delete val="0"/>
        <c:axPos val="r"/>
        <c:numFmt formatCode="0.00&quot;x&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647327224"/>
        <c:crosses val="max"/>
        <c:crossBetween val="between"/>
      </c:valAx>
      <c:catAx>
        <c:axId val="647327224"/>
        <c:scaling>
          <c:orientation val="minMax"/>
        </c:scaling>
        <c:delete val="1"/>
        <c:axPos val="b"/>
        <c:numFmt formatCode="0" sourceLinked="1"/>
        <c:majorTickMark val="out"/>
        <c:minorTickMark val="none"/>
        <c:tickLblPos val="nextTo"/>
        <c:crossAx val="64732853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P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'Business Valuation (DFC) Model'!$A$460</c:f>
              <c:strCache>
                <c:ptCount val="1"/>
                <c:pt idx="0">
                  <c:v> Net Earnings </c:v>
                </c:pt>
              </c:strCache>
            </c:strRef>
          </c:tx>
          <c:spPr>
            <a:solidFill>
              <a:schemeClr val="accent1"/>
            </a:solidFill>
            <a:ln>
              <a:noFill/>
            </a:ln>
            <a:effectLst/>
          </c:spPr>
          <c:invertIfNegative val="0"/>
          <c:dLbls>
            <c:delete val="1"/>
          </c:dLbls>
          <c:cat>
            <c:numRef>
              <c:f>'Business Valuation (DFC) Model'!$D$447:$M$447</c:f>
            </c:numRef>
          </c:cat>
          <c:val>
            <c:numRef>
              <c:f>'Business Valuation (DFC) Model'!$E$460:$M$460</c:f>
            </c:numRef>
          </c:val>
          <c:extLst>
            <c:ext xmlns:c16="http://schemas.microsoft.com/office/drawing/2014/chart" uri="{C3380CC4-5D6E-409C-BE32-E72D297353CC}">
              <c16:uniqueId val="{00000003-C25C-4307-A96A-CE9281BB1B0F}"/>
            </c:ext>
          </c:extLst>
        </c:ser>
        <c:dLbls>
          <c:showLegendKey val="0"/>
          <c:showVal val="1"/>
          <c:showCatName val="0"/>
          <c:showSerName val="0"/>
          <c:showPercent val="0"/>
          <c:showBubbleSize val="0"/>
        </c:dLbls>
        <c:gapWidth val="130"/>
        <c:axId val="532227944"/>
        <c:axId val="532227288"/>
      </c:barChart>
      <c:lineChart>
        <c:grouping val="standard"/>
        <c:varyColors val="0"/>
        <c:ser>
          <c:idx val="1"/>
          <c:order val="1"/>
          <c:tx>
            <c:strRef>
              <c:f>'Business Valuation (DFC) Model'!$A$459</c:f>
              <c:strCache>
                <c:ptCount val="1"/>
                <c:pt idx="0">
                  <c:v> Dividend Payout Ratio </c:v>
                </c:pt>
              </c:strCache>
            </c:strRef>
          </c:tx>
          <c:spPr>
            <a:ln w="28575" cap="rnd">
              <a:solidFill>
                <a:schemeClr val="accent2"/>
              </a:solidFill>
              <a:round/>
            </a:ln>
            <a:effectLst/>
          </c:spPr>
          <c:marker>
            <c:symbol val="none"/>
          </c:marker>
          <c:dLbls>
            <c:spPr>
              <a:solidFill>
                <a:schemeClr val="accent2">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P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'Business Valuation (DFC) Model'!$E$447:$M$447</c:f>
            </c:numRef>
          </c:cat>
          <c:val>
            <c:numRef>
              <c:f>'Business Valuation (DFC) Model'!$E$459:$M$459</c:f>
            </c:numRef>
          </c:val>
          <c:smooth val="0"/>
          <c:extLst>
            <c:ext xmlns:c16="http://schemas.microsoft.com/office/drawing/2014/chart" uri="{C3380CC4-5D6E-409C-BE32-E72D297353CC}">
              <c16:uniqueId val="{00000004-C25C-4307-A96A-CE9281BB1B0F}"/>
            </c:ext>
          </c:extLst>
        </c:ser>
        <c:dLbls>
          <c:showLegendKey val="0"/>
          <c:showVal val="0"/>
          <c:showCatName val="0"/>
          <c:showSerName val="0"/>
          <c:showPercent val="0"/>
          <c:showBubbleSize val="0"/>
        </c:dLbls>
        <c:marker val="1"/>
        <c:smooth val="0"/>
        <c:axId val="616220784"/>
        <c:axId val="616219472"/>
      </c:lineChart>
      <c:catAx>
        <c:axId val="53222794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532227288"/>
        <c:crosses val="autoZero"/>
        <c:auto val="1"/>
        <c:lblAlgn val="ctr"/>
        <c:lblOffset val="100"/>
        <c:noMultiLvlLbl val="0"/>
      </c:catAx>
      <c:valAx>
        <c:axId val="532227288"/>
        <c:scaling>
          <c:orientation val="minMax"/>
          <c:max val="8000"/>
        </c:scaling>
        <c:delete val="0"/>
        <c:axPos val="l"/>
        <c:numFmt formatCode="_-* #,##0_-;\(#,##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532227944"/>
        <c:crosses val="autoZero"/>
        <c:crossBetween val="between"/>
      </c:valAx>
      <c:valAx>
        <c:axId val="616219472"/>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crossAx val="616220784"/>
        <c:crosses val="max"/>
        <c:crossBetween val="between"/>
      </c:valAx>
      <c:catAx>
        <c:axId val="616220784"/>
        <c:scaling>
          <c:orientation val="minMax"/>
        </c:scaling>
        <c:delete val="1"/>
        <c:axPos val="b"/>
        <c:numFmt formatCode="0" sourceLinked="1"/>
        <c:majorTickMark val="out"/>
        <c:minorTickMark val="none"/>
        <c:tickLblPos val="nextTo"/>
        <c:crossAx val="61621947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P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P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13</xdr:col>
      <xdr:colOff>241040</xdr:colOff>
      <xdr:row>2</xdr:row>
      <xdr:rowOff>111133</xdr:rowOff>
    </xdr:from>
    <xdr:to>
      <xdr:col>14</xdr:col>
      <xdr:colOff>650184</xdr:colOff>
      <xdr:row>7</xdr:row>
      <xdr:rowOff>214319</xdr:rowOff>
    </xdr:to>
    <xdr:pic>
      <xdr:nvPicPr>
        <xdr:cNvPr id="2" name="Picture 1">
          <a:extLst>
            <a:ext uri="{FF2B5EF4-FFF2-40B4-BE49-F238E27FC236}">
              <a16:creationId xmlns:a16="http://schemas.microsoft.com/office/drawing/2014/main" id="{E17C61A1-F152-4527-8E84-89B3EF4225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20228" y="603258"/>
          <a:ext cx="1329894" cy="1333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156210</xdr:colOff>
      <xdr:row>349</xdr:row>
      <xdr:rowOff>66992</xdr:rowOff>
    </xdr:from>
    <xdr:to>
      <xdr:col>6</xdr:col>
      <xdr:colOff>701040</xdr:colOff>
      <xdr:row>363</xdr:row>
      <xdr:rowOff>36195</xdr:rowOff>
    </xdr:to>
    <xdr:graphicFrame macro="">
      <xdr:nvGraphicFramePr>
        <xdr:cNvPr id="5" name="Chart 4">
          <a:extLst>
            <a:ext uri="{FF2B5EF4-FFF2-40B4-BE49-F238E27FC236}">
              <a16:creationId xmlns:a16="http://schemas.microsoft.com/office/drawing/2014/main" id="{7BDFB254-831A-4752-BB1E-BFB5BAD3C1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266700</xdr:colOff>
      <xdr:row>349</xdr:row>
      <xdr:rowOff>3810</xdr:rowOff>
    </xdr:from>
    <xdr:to>
      <xdr:col>13</xdr:col>
      <xdr:colOff>415290</xdr:colOff>
      <xdr:row>363</xdr:row>
      <xdr:rowOff>182880</xdr:rowOff>
    </xdr:to>
    <xdr:graphicFrame macro="">
      <xdr:nvGraphicFramePr>
        <xdr:cNvPr id="8" name="Chart 7">
          <a:extLst>
            <a:ext uri="{FF2B5EF4-FFF2-40B4-BE49-F238E27FC236}">
              <a16:creationId xmlns:a16="http://schemas.microsoft.com/office/drawing/2014/main" id="{8C07C3A0-7AB0-409F-8CBF-57878F7890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327661</xdr:colOff>
      <xdr:row>560</xdr:row>
      <xdr:rowOff>7621</xdr:rowOff>
    </xdr:from>
    <xdr:to>
      <xdr:col>12</xdr:col>
      <xdr:colOff>333375</xdr:colOff>
      <xdr:row>561</xdr:row>
      <xdr:rowOff>190500</xdr:rowOff>
    </xdr:to>
    <xdr:sp macro="" textlink="">
      <xdr:nvSpPr>
        <xdr:cNvPr id="6" name="Line 19">
          <a:extLst>
            <a:ext uri="{FF2B5EF4-FFF2-40B4-BE49-F238E27FC236}">
              <a16:creationId xmlns:a16="http://schemas.microsoft.com/office/drawing/2014/main" id="{C2799222-196E-422C-AB6A-DC7EF3324F2F}"/>
            </a:ext>
          </a:extLst>
        </xdr:cNvPr>
        <xdr:cNvSpPr>
          <a:spLocks noChangeShapeType="1"/>
        </xdr:cNvSpPr>
      </xdr:nvSpPr>
      <xdr:spPr bwMode="auto">
        <a:xfrm flipH="1">
          <a:off x="10820401" y="72923401"/>
          <a:ext cx="5714" cy="380999"/>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609599</xdr:colOff>
      <xdr:row>563</xdr:row>
      <xdr:rowOff>104775</xdr:rowOff>
    </xdr:from>
    <xdr:to>
      <xdr:col>15</xdr:col>
      <xdr:colOff>611503</xdr:colOff>
      <xdr:row>563</xdr:row>
      <xdr:rowOff>104775</xdr:rowOff>
    </xdr:to>
    <xdr:sp macro="" textlink="">
      <xdr:nvSpPr>
        <xdr:cNvPr id="7" name="Line 22">
          <a:extLst>
            <a:ext uri="{FF2B5EF4-FFF2-40B4-BE49-F238E27FC236}">
              <a16:creationId xmlns:a16="http://schemas.microsoft.com/office/drawing/2014/main" id="{766DE963-7F29-4958-9ED4-743764151497}"/>
            </a:ext>
          </a:extLst>
        </xdr:cNvPr>
        <xdr:cNvSpPr>
          <a:spLocks noChangeShapeType="1"/>
        </xdr:cNvSpPr>
      </xdr:nvSpPr>
      <xdr:spPr bwMode="auto">
        <a:xfrm>
          <a:off x="9723119" y="27437715"/>
          <a:ext cx="565784"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564</xdr:row>
      <xdr:rowOff>204257</xdr:rowOff>
    </xdr:from>
    <xdr:to>
      <xdr:col>6</xdr:col>
      <xdr:colOff>390525</xdr:colOff>
      <xdr:row>569</xdr:row>
      <xdr:rowOff>204257</xdr:rowOff>
    </xdr:to>
    <xdr:sp macro="" textlink="">
      <xdr:nvSpPr>
        <xdr:cNvPr id="9" name="Line 23">
          <a:extLst>
            <a:ext uri="{FF2B5EF4-FFF2-40B4-BE49-F238E27FC236}">
              <a16:creationId xmlns:a16="http://schemas.microsoft.com/office/drawing/2014/main" id="{B2E3D475-3FA4-402D-9B50-873F8C37B69E}"/>
            </a:ext>
          </a:extLst>
        </xdr:cNvPr>
        <xdr:cNvSpPr>
          <a:spLocks noChangeShapeType="1"/>
        </xdr:cNvSpPr>
      </xdr:nvSpPr>
      <xdr:spPr bwMode="auto">
        <a:xfrm>
          <a:off x="4368165" y="27735317"/>
          <a:ext cx="0" cy="101346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xdr:colOff>
      <xdr:row>567</xdr:row>
      <xdr:rowOff>104775</xdr:rowOff>
    </xdr:from>
    <xdr:to>
      <xdr:col>19</xdr:col>
      <xdr:colOff>19051</xdr:colOff>
      <xdr:row>567</xdr:row>
      <xdr:rowOff>104775</xdr:rowOff>
    </xdr:to>
    <xdr:sp macro="" textlink="">
      <xdr:nvSpPr>
        <xdr:cNvPr id="10" name="Line 25">
          <a:extLst>
            <a:ext uri="{FF2B5EF4-FFF2-40B4-BE49-F238E27FC236}">
              <a16:creationId xmlns:a16="http://schemas.microsoft.com/office/drawing/2014/main" id="{232E92C1-C049-40EB-8B25-2A972AD2D5FF}"/>
            </a:ext>
          </a:extLst>
        </xdr:cNvPr>
        <xdr:cNvSpPr>
          <a:spLocks noChangeShapeType="1"/>
        </xdr:cNvSpPr>
      </xdr:nvSpPr>
      <xdr:spPr bwMode="auto">
        <a:xfrm>
          <a:off x="11399521" y="28245435"/>
          <a:ext cx="57531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790574</xdr:colOff>
      <xdr:row>567</xdr:row>
      <xdr:rowOff>104775</xdr:rowOff>
    </xdr:from>
    <xdr:to>
      <xdr:col>6</xdr:col>
      <xdr:colOff>790574</xdr:colOff>
      <xdr:row>567</xdr:row>
      <xdr:rowOff>104775</xdr:rowOff>
    </xdr:to>
    <xdr:sp macro="" textlink="">
      <xdr:nvSpPr>
        <xdr:cNvPr id="11" name="Line 26">
          <a:extLst>
            <a:ext uri="{FF2B5EF4-FFF2-40B4-BE49-F238E27FC236}">
              <a16:creationId xmlns:a16="http://schemas.microsoft.com/office/drawing/2014/main" id="{C74AE663-96D6-4DCD-9DA7-1582590DE24D}"/>
            </a:ext>
          </a:extLst>
        </xdr:cNvPr>
        <xdr:cNvSpPr>
          <a:spLocks noChangeShapeType="1"/>
        </xdr:cNvSpPr>
      </xdr:nvSpPr>
      <xdr:spPr bwMode="auto">
        <a:xfrm>
          <a:off x="3975734" y="28245435"/>
          <a:ext cx="7239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15874</xdr:colOff>
      <xdr:row>575</xdr:row>
      <xdr:rowOff>85725</xdr:rowOff>
    </xdr:from>
    <xdr:to>
      <xdr:col>18</xdr:col>
      <xdr:colOff>582802</xdr:colOff>
      <xdr:row>575</xdr:row>
      <xdr:rowOff>85725</xdr:rowOff>
    </xdr:to>
    <xdr:sp macro="" textlink="">
      <xdr:nvSpPr>
        <xdr:cNvPr id="12" name="Line 32">
          <a:extLst>
            <a:ext uri="{FF2B5EF4-FFF2-40B4-BE49-F238E27FC236}">
              <a16:creationId xmlns:a16="http://schemas.microsoft.com/office/drawing/2014/main" id="{3C97FD93-F675-468F-88A9-645B8C06BF93}"/>
            </a:ext>
          </a:extLst>
        </xdr:cNvPr>
        <xdr:cNvSpPr>
          <a:spLocks noChangeShapeType="1"/>
        </xdr:cNvSpPr>
      </xdr:nvSpPr>
      <xdr:spPr bwMode="auto">
        <a:xfrm>
          <a:off x="11415394" y="29841825"/>
          <a:ext cx="544068"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563</xdr:row>
      <xdr:rowOff>76199</xdr:rowOff>
    </xdr:from>
    <xdr:to>
      <xdr:col>10</xdr:col>
      <xdr:colOff>0</xdr:colOff>
      <xdr:row>563</xdr:row>
      <xdr:rowOff>76200</xdr:rowOff>
    </xdr:to>
    <xdr:sp macro="" textlink="">
      <xdr:nvSpPr>
        <xdr:cNvPr id="13" name="Line 22">
          <a:extLst>
            <a:ext uri="{FF2B5EF4-FFF2-40B4-BE49-F238E27FC236}">
              <a16:creationId xmlns:a16="http://schemas.microsoft.com/office/drawing/2014/main" id="{04F589A4-0D07-442B-9BD0-515B3683EBF7}"/>
            </a:ext>
          </a:extLst>
        </xdr:cNvPr>
        <xdr:cNvSpPr>
          <a:spLocks noChangeShapeType="1"/>
        </xdr:cNvSpPr>
      </xdr:nvSpPr>
      <xdr:spPr bwMode="auto">
        <a:xfrm>
          <a:off x="6296025" y="27409139"/>
          <a:ext cx="607695" cy="1"/>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400050</xdr:colOff>
      <xdr:row>573</xdr:row>
      <xdr:rowOff>8467</xdr:rowOff>
    </xdr:from>
    <xdr:to>
      <xdr:col>6</xdr:col>
      <xdr:colOff>400050</xdr:colOff>
      <xdr:row>587</xdr:row>
      <xdr:rowOff>104987</xdr:rowOff>
    </xdr:to>
    <xdr:sp macro="" textlink="">
      <xdr:nvSpPr>
        <xdr:cNvPr id="14" name="Line 19">
          <a:extLst>
            <a:ext uri="{FF2B5EF4-FFF2-40B4-BE49-F238E27FC236}">
              <a16:creationId xmlns:a16="http://schemas.microsoft.com/office/drawing/2014/main" id="{CD06375F-2137-425B-A6D4-A5151DEE4B46}"/>
            </a:ext>
          </a:extLst>
        </xdr:cNvPr>
        <xdr:cNvSpPr>
          <a:spLocks noChangeShapeType="1"/>
        </xdr:cNvSpPr>
      </xdr:nvSpPr>
      <xdr:spPr bwMode="auto">
        <a:xfrm>
          <a:off x="4377690" y="29360707"/>
          <a:ext cx="0" cy="292354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266700</xdr:colOff>
      <xdr:row>565</xdr:row>
      <xdr:rowOff>0</xdr:rowOff>
    </xdr:from>
    <xdr:to>
      <xdr:col>18</xdr:col>
      <xdr:colOff>266700</xdr:colOff>
      <xdr:row>567</xdr:row>
      <xdr:rowOff>104775</xdr:rowOff>
    </xdr:to>
    <xdr:sp macro="" textlink="">
      <xdr:nvSpPr>
        <xdr:cNvPr id="15" name="Line 24">
          <a:extLst>
            <a:ext uri="{FF2B5EF4-FFF2-40B4-BE49-F238E27FC236}">
              <a16:creationId xmlns:a16="http://schemas.microsoft.com/office/drawing/2014/main" id="{41C963ED-1B33-4DFD-87DB-9E57C8430805}"/>
            </a:ext>
          </a:extLst>
        </xdr:cNvPr>
        <xdr:cNvSpPr>
          <a:spLocks noChangeShapeType="1"/>
        </xdr:cNvSpPr>
      </xdr:nvSpPr>
      <xdr:spPr bwMode="auto">
        <a:xfrm>
          <a:off x="11666220" y="27736800"/>
          <a:ext cx="0" cy="50863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257175</xdr:colOff>
      <xdr:row>571</xdr:row>
      <xdr:rowOff>103716</xdr:rowOff>
    </xdr:from>
    <xdr:to>
      <xdr:col>18</xdr:col>
      <xdr:colOff>257175</xdr:colOff>
      <xdr:row>578</xdr:row>
      <xdr:rowOff>0</xdr:rowOff>
    </xdr:to>
    <xdr:sp macro="" textlink="">
      <xdr:nvSpPr>
        <xdr:cNvPr id="16" name="Line 19">
          <a:extLst>
            <a:ext uri="{FF2B5EF4-FFF2-40B4-BE49-F238E27FC236}">
              <a16:creationId xmlns:a16="http://schemas.microsoft.com/office/drawing/2014/main" id="{B14011FF-7CB2-4E0C-B827-6B433E3721EC}"/>
            </a:ext>
          </a:extLst>
        </xdr:cNvPr>
        <xdr:cNvSpPr>
          <a:spLocks noChangeShapeType="1"/>
        </xdr:cNvSpPr>
      </xdr:nvSpPr>
      <xdr:spPr bwMode="auto">
        <a:xfrm>
          <a:off x="11656695" y="29052096"/>
          <a:ext cx="0" cy="1313604"/>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247650</xdr:colOff>
      <xdr:row>571</xdr:row>
      <xdr:rowOff>114300</xdr:rowOff>
    </xdr:from>
    <xdr:to>
      <xdr:col>21</xdr:col>
      <xdr:colOff>295275</xdr:colOff>
      <xdr:row>571</xdr:row>
      <xdr:rowOff>114300</xdr:rowOff>
    </xdr:to>
    <xdr:sp macro="" textlink="">
      <xdr:nvSpPr>
        <xdr:cNvPr id="17" name="Line 25">
          <a:extLst>
            <a:ext uri="{FF2B5EF4-FFF2-40B4-BE49-F238E27FC236}">
              <a16:creationId xmlns:a16="http://schemas.microsoft.com/office/drawing/2014/main" id="{A2EA251D-11D3-485D-91D8-42BAB6B17C26}"/>
            </a:ext>
          </a:extLst>
        </xdr:cNvPr>
        <xdr:cNvSpPr>
          <a:spLocks noChangeShapeType="1"/>
        </xdr:cNvSpPr>
      </xdr:nvSpPr>
      <xdr:spPr bwMode="auto">
        <a:xfrm>
          <a:off x="11647170" y="29062680"/>
          <a:ext cx="171640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295275</xdr:colOff>
      <xdr:row>569</xdr:row>
      <xdr:rowOff>9525</xdr:rowOff>
    </xdr:from>
    <xdr:to>
      <xdr:col>21</xdr:col>
      <xdr:colOff>295275</xdr:colOff>
      <xdr:row>571</xdr:row>
      <xdr:rowOff>114300</xdr:rowOff>
    </xdr:to>
    <xdr:sp macro="" textlink="">
      <xdr:nvSpPr>
        <xdr:cNvPr id="18" name="Line 24">
          <a:extLst>
            <a:ext uri="{FF2B5EF4-FFF2-40B4-BE49-F238E27FC236}">
              <a16:creationId xmlns:a16="http://schemas.microsoft.com/office/drawing/2014/main" id="{723BFA28-FE6E-4FFC-9434-EAFA73612B5F}"/>
            </a:ext>
          </a:extLst>
        </xdr:cNvPr>
        <xdr:cNvSpPr>
          <a:spLocks noChangeShapeType="1"/>
        </xdr:cNvSpPr>
      </xdr:nvSpPr>
      <xdr:spPr bwMode="auto">
        <a:xfrm>
          <a:off x="13363575" y="28554045"/>
          <a:ext cx="0" cy="50863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10582</xdr:colOff>
      <xdr:row>575</xdr:row>
      <xdr:rowOff>137582</xdr:rowOff>
    </xdr:from>
    <xdr:to>
      <xdr:col>7</xdr:col>
      <xdr:colOff>5291</xdr:colOff>
      <xdr:row>575</xdr:row>
      <xdr:rowOff>137582</xdr:rowOff>
    </xdr:to>
    <xdr:sp macro="" textlink="">
      <xdr:nvSpPr>
        <xdr:cNvPr id="19" name="Line 26">
          <a:extLst>
            <a:ext uri="{FF2B5EF4-FFF2-40B4-BE49-F238E27FC236}">
              <a16:creationId xmlns:a16="http://schemas.microsoft.com/office/drawing/2014/main" id="{23593490-B9F6-43FA-A25F-A82FD46BCBCD}"/>
            </a:ext>
          </a:extLst>
        </xdr:cNvPr>
        <xdr:cNvSpPr>
          <a:spLocks noChangeShapeType="1"/>
        </xdr:cNvSpPr>
      </xdr:nvSpPr>
      <xdr:spPr bwMode="auto">
        <a:xfrm>
          <a:off x="3988222" y="29893682"/>
          <a:ext cx="718609"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14816</xdr:colOff>
      <xdr:row>579</xdr:row>
      <xdr:rowOff>141816</xdr:rowOff>
    </xdr:from>
    <xdr:to>
      <xdr:col>7</xdr:col>
      <xdr:colOff>9525</xdr:colOff>
      <xdr:row>579</xdr:row>
      <xdr:rowOff>141816</xdr:rowOff>
    </xdr:to>
    <xdr:sp macro="" textlink="">
      <xdr:nvSpPr>
        <xdr:cNvPr id="20" name="Line 26">
          <a:extLst>
            <a:ext uri="{FF2B5EF4-FFF2-40B4-BE49-F238E27FC236}">
              <a16:creationId xmlns:a16="http://schemas.microsoft.com/office/drawing/2014/main" id="{6C1E9E77-7F14-4011-BF60-8B41323561D9}"/>
            </a:ext>
          </a:extLst>
        </xdr:cNvPr>
        <xdr:cNvSpPr>
          <a:spLocks noChangeShapeType="1"/>
        </xdr:cNvSpPr>
      </xdr:nvSpPr>
      <xdr:spPr bwMode="auto">
        <a:xfrm>
          <a:off x="3992456" y="30705636"/>
          <a:ext cx="718609"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789516</xdr:colOff>
      <xdr:row>583</xdr:row>
      <xdr:rowOff>103715</xdr:rowOff>
    </xdr:from>
    <xdr:to>
      <xdr:col>7</xdr:col>
      <xdr:colOff>0</xdr:colOff>
      <xdr:row>583</xdr:row>
      <xdr:rowOff>104774</xdr:rowOff>
    </xdr:to>
    <xdr:sp macro="" textlink="">
      <xdr:nvSpPr>
        <xdr:cNvPr id="21" name="Line 26">
          <a:extLst>
            <a:ext uri="{FF2B5EF4-FFF2-40B4-BE49-F238E27FC236}">
              <a16:creationId xmlns:a16="http://schemas.microsoft.com/office/drawing/2014/main" id="{FC6E6599-510A-4B58-A222-DDD6010BBCAB}"/>
            </a:ext>
          </a:extLst>
        </xdr:cNvPr>
        <xdr:cNvSpPr>
          <a:spLocks noChangeShapeType="1"/>
        </xdr:cNvSpPr>
      </xdr:nvSpPr>
      <xdr:spPr bwMode="auto">
        <a:xfrm>
          <a:off x="3974676" y="31475255"/>
          <a:ext cx="726864" cy="1059"/>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789516</xdr:colOff>
      <xdr:row>587</xdr:row>
      <xdr:rowOff>103715</xdr:rowOff>
    </xdr:from>
    <xdr:to>
      <xdr:col>7</xdr:col>
      <xdr:colOff>9525</xdr:colOff>
      <xdr:row>587</xdr:row>
      <xdr:rowOff>104774</xdr:rowOff>
    </xdr:to>
    <xdr:sp macro="" textlink="">
      <xdr:nvSpPr>
        <xdr:cNvPr id="22" name="Line 26">
          <a:extLst>
            <a:ext uri="{FF2B5EF4-FFF2-40B4-BE49-F238E27FC236}">
              <a16:creationId xmlns:a16="http://schemas.microsoft.com/office/drawing/2014/main" id="{0B45112E-88B5-4549-B3F2-1F4459BF6364}"/>
            </a:ext>
          </a:extLst>
        </xdr:cNvPr>
        <xdr:cNvSpPr>
          <a:spLocks noChangeShapeType="1"/>
        </xdr:cNvSpPr>
      </xdr:nvSpPr>
      <xdr:spPr bwMode="auto">
        <a:xfrm>
          <a:off x="3974676" y="32282975"/>
          <a:ext cx="736389" cy="1059"/>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525780</xdr:colOff>
      <xdr:row>347</xdr:row>
      <xdr:rowOff>30480</xdr:rowOff>
    </xdr:from>
    <xdr:to>
      <xdr:col>5</xdr:col>
      <xdr:colOff>99060</xdr:colOff>
      <xdr:row>348</xdr:row>
      <xdr:rowOff>91440</xdr:rowOff>
    </xdr:to>
    <xdr:sp macro="" textlink="">
      <xdr:nvSpPr>
        <xdr:cNvPr id="2" name="TextBox 1">
          <a:extLst>
            <a:ext uri="{FF2B5EF4-FFF2-40B4-BE49-F238E27FC236}">
              <a16:creationId xmlns:a16="http://schemas.microsoft.com/office/drawing/2014/main" id="{A19AD5D4-CF5F-4AD9-993B-ED09753250F9}"/>
            </a:ext>
          </a:extLst>
        </xdr:cNvPr>
        <xdr:cNvSpPr txBox="1"/>
      </xdr:nvSpPr>
      <xdr:spPr>
        <a:xfrm>
          <a:off x="1600200" y="57096660"/>
          <a:ext cx="3337560" cy="25908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rial Narrow" panose="020B0606020202030204" pitchFamily="34" charset="0"/>
            </a:rPr>
            <a:t>Historic &amp; Forecast</a:t>
          </a:r>
          <a:r>
            <a:rPr lang="en-US" sz="1100" b="1" baseline="0">
              <a:latin typeface="Arial Narrow" panose="020B0606020202030204" pitchFamily="34" charset="0"/>
            </a:rPr>
            <a:t> Profitability </a:t>
          </a:r>
          <a:r>
            <a:rPr lang="en-US" sz="1100" b="1" baseline="0">
              <a:ln>
                <a:noFill/>
              </a:ln>
              <a:latin typeface="Arial Narrow" panose="020B0606020202030204" pitchFamily="34" charset="0"/>
            </a:rPr>
            <a:t>Levels</a:t>
          </a:r>
          <a:endParaRPr lang="en-PK" sz="1100" b="1">
            <a:ln>
              <a:noFill/>
            </a:ln>
            <a:latin typeface="Arial Narrow" panose="020B0606020202030204" pitchFamily="34" charset="0"/>
          </a:endParaRPr>
        </a:p>
      </xdr:txBody>
    </xdr:sp>
    <xdr:clientData/>
  </xdr:twoCellAnchor>
  <xdr:twoCellAnchor>
    <xdr:from>
      <xdr:col>8</xdr:col>
      <xdr:colOff>182880</xdr:colOff>
      <xdr:row>347</xdr:row>
      <xdr:rowOff>30480</xdr:rowOff>
    </xdr:from>
    <xdr:to>
      <xdr:col>12</xdr:col>
      <xdr:colOff>289560</xdr:colOff>
      <xdr:row>348</xdr:row>
      <xdr:rowOff>91440</xdr:rowOff>
    </xdr:to>
    <xdr:sp macro="" textlink="">
      <xdr:nvSpPr>
        <xdr:cNvPr id="23" name="TextBox 22">
          <a:extLst>
            <a:ext uri="{FF2B5EF4-FFF2-40B4-BE49-F238E27FC236}">
              <a16:creationId xmlns:a16="http://schemas.microsoft.com/office/drawing/2014/main" id="{A8F7B760-EF30-4531-BF98-0E99FB5FB6BC}"/>
            </a:ext>
          </a:extLst>
        </xdr:cNvPr>
        <xdr:cNvSpPr txBox="1"/>
      </xdr:nvSpPr>
      <xdr:spPr>
        <a:xfrm>
          <a:off x="7444740" y="57096660"/>
          <a:ext cx="3337560" cy="25908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rial Narrow" panose="020B0606020202030204" pitchFamily="34" charset="0"/>
            </a:rPr>
            <a:t>Historic &amp; Forecast</a:t>
          </a:r>
          <a:r>
            <a:rPr lang="en-US" sz="1100" b="1" baseline="0">
              <a:latin typeface="Arial Narrow" panose="020B0606020202030204" pitchFamily="34" charset="0"/>
            </a:rPr>
            <a:t> Profitability </a:t>
          </a:r>
          <a:r>
            <a:rPr lang="en-US" sz="1100" b="1" baseline="0">
              <a:ln>
                <a:noFill/>
              </a:ln>
              <a:latin typeface="Arial Narrow" panose="020B0606020202030204" pitchFamily="34" charset="0"/>
            </a:rPr>
            <a:t>Growth/Decline</a:t>
          </a:r>
          <a:endParaRPr lang="en-PK" sz="1100" b="1">
            <a:ln>
              <a:noFill/>
            </a:ln>
            <a:latin typeface="Arial Narrow" panose="020B0606020202030204" pitchFamily="34" charset="0"/>
          </a:endParaRPr>
        </a:p>
      </xdr:txBody>
    </xdr:sp>
    <xdr:clientData/>
  </xdr:twoCellAnchor>
  <xdr:twoCellAnchor>
    <xdr:from>
      <xdr:col>0</xdr:col>
      <xdr:colOff>148590</xdr:colOff>
      <xdr:row>396</xdr:row>
      <xdr:rowOff>19050</xdr:rowOff>
    </xdr:from>
    <xdr:to>
      <xdr:col>6</xdr:col>
      <xdr:colOff>800100</xdr:colOff>
      <xdr:row>409</xdr:row>
      <xdr:rowOff>186690</xdr:rowOff>
    </xdr:to>
    <xdr:graphicFrame macro="">
      <xdr:nvGraphicFramePr>
        <xdr:cNvPr id="24" name="Chart 23">
          <a:extLst>
            <a:ext uri="{FF2B5EF4-FFF2-40B4-BE49-F238E27FC236}">
              <a16:creationId xmlns:a16="http://schemas.microsoft.com/office/drawing/2014/main" id="{B4B67BD6-B073-442F-B5DA-1FD8FAF81A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114300</xdr:colOff>
      <xdr:row>393</xdr:row>
      <xdr:rowOff>121920</xdr:rowOff>
    </xdr:from>
    <xdr:to>
      <xdr:col>4</xdr:col>
      <xdr:colOff>495300</xdr:colOff>
      <xdr:row>394</xdr:row>
      <xdr:rowOff>182880</xdr:rowOff>
    </xdr:to>
    <xdr:sp macro="" textlink="">
      <xdr:nvSpPr>
        <xdr:cNvPr id="25" name="TextBox 24">
          <a:extLst>
            <a:ext uri="{FF2B5EF4-FFF2-40B4-BE49-F238E27FC236}">
              <a16:creationId xmlns:a16="http://schemas.microsoft.com/office/drawing/2014/main" id="{941A0610-CD4F-460C-A3FA-7B6E5EA6D684}"/>
            </a:ext>
          </a:extLst>
        </xdr:cNvPr>
        <xdr:cNvSpPr txBox="1"/>
      </xdr:nvSpPr>
      <xdr:spPr>
        <a:xfrm>
          <a:off x="1188720" y="62537340"/>
          <a:ext cx="3337560" cy="25908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rial Narrow" panose="020B0606020202030204" pitchFamily="34" charset="0"/>
            </a:rPr>
            <a:t>Liquidity</a:t>
          </a:r>
          <a:r>
            <a:rPr lang="en-US" sz="1100" b="1" baseline="0">
              <a:latin typeface="Arial Narrow" panose="020B0606020202030204" pitchFamily="34" charset="0"/>
            </a:rPr>
            <a:t> - </a:t>
          </a:r>
          <a:r>
            <a:rPr lang="en-US" sz="1100" b="1">
              <a:latin typeface="Arial Narrow" panose="020B0606020202030204" pitchFamily="34" charset="0"/>
            </a:rPr>
            <a:t>Historic &amp; Forecast</a:t>
          </a:r>
          <a:endParaRPr lang="en-PK" sz="1100" b="1">
            <a:ln>
              <a:noFill/>
            </a:ln>
            <a:latin typeface="Arial Narrow" panose="020B0606020202030204" pitchFamily="34" charset="0"/>
          </a:endParaRPr>
        </a:p>
      </xdr:txBody>
    </xdr:sp>
    <xdr:clientData/>
  </xdr:twoCellAnchor>
  <xdr:twoCellAnchor>
    <xdr:from>
      <xdr:col>7</xdr:col>
      <xdr:colOff>327660</xdr:colOff>
      <xdr:row>395</xdr:row>
      <xdr:rowOff>182880</xdr:rowOff>
    </xdr:from>
    <xdr:to>
      <xdr:col>15</xdr:col>
      <xdr:colOff>514350</xdr:colOff>
      <xdr:row>409</xdr:row>
      <xdr:rowOff>152400</xdr:rowOff>
    </xdr:to>
    <xdr:graphicFrame macro="">
      <xdr:nvGraphicFramePr>
        <xdr:cNvPr id="26" name="Chart 25">
          <a:extLst>
            <a:ext uri="{FF2B5EF4-FFF2-40B4-BE49-F238E27FC236}">
              <a16:creationId xmlns:a16="http://schemas.microsoft.com/office/drawing/2014/main" id="{67324F7C-0C97-46F6-A032-D384110EC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629928</xdr:colOff>
      <xdr:row>393</xdr:row>
      <xdr:rowOff>121920</xdr:rowOff>
    </xdr:from>
    <xdr:to>
      <xdr:col>12</xdr:col>
      <xdr:colOff>736608</xdr:colOff>
      <xdr:row>394</xdr:row>
      <xdr:rowOff>182880</xdr:rowOff>
    </xdr:to>
    <xdr:sp macro="" textlink="">
      <xdr:nvSpPr>
        <xdr:cNvPr id="27" name="TextBox 26">
          <a:extLst>
            <a:ext uri="{FF2B5EF4-FFF2-40B4-BE49-F238E27FC236}">
              <a16:creationId xmlns:a16="http://schemas.microsoft.com/office/drawing/2014/main" id="{5ED3C758-9581-4D12-A4E0-574F724056C5}"/>
            </a:ext>
          </a:extLst>
        </xdr:cNvPr>
        <xdr:cNvSpPr txBox="1"/>
      </xdr:nvSpPr>
      <xdr:spPr>
        <a:xfrm>
          <a:off x="8281678" y="16941483"/>
          <a:ext cx="3408680" cy="25939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baseline="0">
              <a:latin typeface="Arial Narrow" panose="020B0606020202030204" pitchFamily="34" charset="0"/>
            </a:rPr>
            <a:t>Asset Turnover - </a:t>
          </a:r>
          <a:r>
            <a:rPr lang="en-US" sz="1100" b="1">
              <a:latin typeface="Arial Narrow" panose="020B0606020202030204" pitchFamily="34" charset="0"/>
            </a:rPr>
            <a:t>Historic &amp; Forecast</a:t>
          </a:r>
          <a:endParaRPr lang="en-PK" sz="1100" b="1">
            <a:ln>
              <a:noFill/>
            </a:ln>
            <a:latin typeface="Arial Narrow" panose="020B0606020202030204" pitchFamily="34" charset="0"/>
          </a:endParaRPr>
        </a:p>
      </xdr:txBody>
    </xdr:sp>
    <xdr:clientData/>
  </xdr:twoCellAnchor>
  <xdr:twoCellAnchor>
    <xdr:from>
      <xdr:col>0</xdr:col>
      <xdr:colOff>156210</xdr:colOff>
      <xdr:row>429</xdr:row>
      <xdr:rowOff>57150</xdr:rowOff>
    </xdr:from>
    <xdr:to>
      <xdr:col>6</xdr:col>
      <xdr:colOff>701790</xdr:colOff>
      <xdr:row>444</xdr:row>
      <xdr:rowOff>26670</xdr:rowOff>
    </xdr:to>
    <xdr:graphicFrame macro="">
      <xdr:nvGraphicFramePr>
        <xdr:cNvPr id="29" name="Chart 28">
          <a:extLst>
            <a:ext uri="{FF2B5EF4-FFF2-40B4-BE49-F238E27FC236}">
              <a16:creationId xmlns:a16="http://schemas.microsoft.com/office/drawing/2014/main" id="{C7DAF072-49C9-4C9A-B8C8-B9F00F0B93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429</xdr:row>
      <xdr:rowOff>0</xdr:rowOff>
    </xdr:from>
    <xdr:to>
      <xdr:col>15</xdr:col>
      <xdr:colOff>80760</xdr:colOff>
      <xdr:row>442</xdr:row>
      <xdr:rowOff>167640</xdr:rowOff>
    </xdr:to>
    <xdr:graphicFrame macro="">
      <xdr:nvGraphicFramePr>
        <xdr:cNvPr id="30" name="Chart 29">
          <a:extLst>
            <a:ext uri="{FF2B5EF4-FFF2-40B4-BE49-F238E27FC236}">
              <a16:creationId xmlns:a16="http://schemas.microsoft.com/office/drawing/2014/main" id="{241D1BDE-01E3-4513-9583-CF24BFEBCF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198120</xdr:colOff>
      <xdr:row>426</xdr:row>
      <xdr:rowOff>22860</xdr:rowOff>
    </xdr:from>
    <xdr:to>
      <xdr:col>4</xdr:col>
      <xdr:colOff>579120</xdr:colOff>
      <xdr:row>427</xdr:row>
      <xdr:rowOff>83820</xdr:rowOff>
    </xdr:to>
    <xdr:sp macro="" textlink="">
      <xdr:nvSpPr>
        <xdr:cNvPr id="31" name="TextBox 30">
          <a:extLst>
            <a:ext uri="{FF2B5EF4-FFF2-40B4-BE49-F238E27FC236}">
              <a16:creationId xmlns:a16="http://schemas.microsoft.com/office/drawing/2014/main" id="{1A458EEA-CF81-47E5-B0B2-128D855FC001}"/>
            </a:ext>
          </a:extLst>
        </xdr:cNvPr>
        <xdr:cNvSpPr txBox="1"/>
      </xdr:nvSpPr>
      <xdr:spPr>
        <a:xfrm>
          <a:off x="1272540" y="68778120"/>
          <a:ext cx="3337560" cy="25908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baseline="0">
              <a:latin typeface="Arial Narrow" panose="020B0606020202030204" pitchFamily="34" charset="0"/>
            </a:rPr>
            <a:t>Efficiency Trend - </a:t>
          </a:r>
          <a:r>
            <a:rPr lang="en-US" sz="1100" b="1">
              <a:latin typeface="Arial Narrow" panose="020B0606020202030204" pitchFamily="34" charset="0"/>
            </a:rPr>
            <a:t>Historic &amp; Forecast</a:t>
          </a:r>
          <a:endParaRPr lang="en-PK" sz="1100" b="1">
            <a:ln>
              <a:noFill/>
            </a:ln>
            <a:latin typeface="Arial Narrow" panose="020B0606020202030204" pitchFamily="34" charset="0"/>
          </a:endParaRPr>
        </a:p>
      </xdr:txBody>
    </xdr:sp>
    <xdr:clientData/>
  </xdr:twoCellAnchor>
  <xdr:twoCellAnchor>
    <xdr:from>
      <xdr:col>8</xdr:col>
      <xdr:colOff>472440</xdr:colOff>
      <xdr:row>426</xdr:row>
      <xdr:rowOff>22860</xdr:rowOff>
    </xdr:from>
    <xdr:to>
      <xdr:col>12</xdr:col>
      <xdr:colOff>579120</xdr:colOff>
      <xdr:row>427</xdr:row>
      <xdr:rowOff>83820</xdr:rowOff>
    </xdr:to>
    <xdr:sp macro="" textlink="">
      <xdr:nvSpPr>
        <xdr:cNvPr id="33" name="TextBox 32">
          <a:extLst>
            <a:ext uri="{FF2B5EF4-FFF2-40B4-BE49-F238E27FC236}">
              <a16:creationId xmlns:a16="http://schemas.microsoft.com/office/drawing/2014/main" id="{ED4A5F50-F016-433E-B0A5-58F7E2BEFAAA}"/>
            </a:ext>
          </a:extLst>
        </xdr:cNvPr>
        <xdr:cNvSpPr txBox="1"/>
      </xdr:nvSpPr>
      <xdr:spPr>
        <a:xfrm>
          <a:off x="7734300" y="68778120"/>
          <a:ext cx="3337560" cy="25908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baseline="0">
              <a:latin typeface="Arial Narrow" panose="020B0606020202030204" pitchFamily="34" charset="0"/>
            </a:rPr>
            <a:t>PP&amp;E and NWC Turnover Trend - </a:t>
          </a:r>
          <a:r>
            <a:rPr lang="en-US" sz="1100" b="1">
              <a:latin typeface="Arial Narrow" panose="020B0606020202030204" pitchFamily="34" charset="0"/>
            </a:rPr>
            <a:t>Historic &amp; Forecast</a:t>
          </a:r>
          <a:endParaRPr lang="en-PK" sz="1100" b="1">
            <a:ln>
              <a:noFill/>
            </a:ln>
            <a:latin typeface="Arial Narrow" panose="020B0606020202030204" pitchFamily="34" charset="0"/>
          </a:endParaRPr>
        </a:p>
      </xdr:txBody>
    </xdr:sp>
    <xdr:clientData/>
  </xdr:twoCellAnchor>
  <xdr:twoCellAnchor>
    <xdr:from>
      <xdr:col>0</xdr:col>
      <xdr:colOff>148590</xdr:colOff>
      <xdr:row>468</xdr:row>
      <xdr:rowOff>156210</xdr:rowOff>
    </xdr:from>
    <xdr:to>
      <xdr:col>6</xdr:col>
      <xdr:colOff>694170</xdr:colOff>
      <xdr:row>482</xdr:row>
      <xdr:rowOff>125730</xdr:rowOff>
    </xdr:to>
    <xdr:graphicFrame macro="">
      <xdr:nvGraphicFramePr>
        <xdr:cNvPr id="34" name="Chart 33">
          <a:extLst>
            <a:ext uri="{FF2B5EF4-FFF2-40B4-BE49-F238E27FC236}">
              <a16:creationId xmlns:a16="http://schemas.microsoft.com/office/drawing/2014/main" id="{03908A79-55CE-4F78-B474-0F9B559806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289560</xdr:colOff>
      <xdr:row>465</xdr:row>
      <xdr:rowOff>106680</xdr:rowOff>
    </xdr:from>
    <xdr:to>
      <xdr:col>4</xdr:col>
      <xdr:colOff>670560</xdr:colOff>
      <xdr:row>466</xdr:row>
      <xdr:rowOff>167640</xdr:rowOff>
    </xdr:to>
    <xdr:sp macro="" textlink="">
      <xdr:nvSpPr>
        <xdr:cNvPr id="35" name="TextBox 34">
          <a:extLst>
            <a:ext uri="{FF2B5EF4-FFF2-40B4-BE49-F238E27FC236}">
              <a16:creationId xmlns:a16="http://schemas.microsoft.com/office/drawing/2014/main" id="{14E62B25-B00F-436D-AEC1-C40EDAA91950}"/>
            </a:ext>
          </a:extLst>
        </xdr:cNvPr>
        <xdr:cNvSpPr txBox="1"/>
      </xdr:nvSpPr>
      <xdr:spPr>
        <a:xfrm>
          <a:off x="1363980" y="75598020"/>
          <a:ext cx="3337560" cy="25908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baseline="0">
              <a:latin typeface="Arial Narrow" panose="020B0606020202030204" pitchFamily="34" charset="0"/>
            </a:rPr>
            <a:t>Capital Structure - </a:t>
          </a:r>
          <a:r>
            <a:rPr lang="en-US" sz="1100" b="1">
              <a:latin typeface="Arial Narrow" panose="020B0606020202030204" pitchFamily="34" charset="0"/>
            </a:rPr>
            <a:t>Historic &amp; Forecast</a:t>
          </a:r>
          <a:endParaRPr lang="en-PK" sz="1100" b="1">
            <a:ln>
              <a:noFill/>
            </a:ln>
            <a:latin typeface="Arial Narrow" panose="020B0606020202030204" pitchFamily="34" charset="0"/>
          </a:endParaRPr>
        </a:p>
      </xdr:txBody>
    </xdr:sp>
    <xdr:clientData/>
  </xdr:twoCellAnchor>
  <xdr:twoCellAnchor>
    <xdr:from>
      <xdr:col>7</xdr:col>
      <xdr:colOff>190500</xdr:colOff>
      <xdr:row>468</xdr:row>
      <xdr:rowOff>137160</xdr:rowOff>
    </xdr:from>
    <xdr:to>
      <xdr:col>15</xdr:col>
      <xdr:colOff>271260</xdr:colOff>
      <xdr:row>482</xdr:row>
      <xdr:rowOff>106680</xdr:rowOff>
    </xdr:to>
    <xdr:graphicFrame macro="">
      <xdr:nvGraphicFramePr>
        <xdr:cNvPr id="36" name="Chart 35">
          <a:extLst>
            <a:ext uri="{FF2B5EF4-FFF2-40B4-BE49-F238E27FC236}">
              <a16:creationId xmlns:a16="http://schemas.microsoft.com/office/drawing/2014/main" id="{5C74F98E-A854-411A-BF7F-94AF16419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510540</xdr:colOff>
      <xdr:row>465</xdr:row>
      <xdr:rowOff>106680</xdr:rowOff>
    </xdr:from>
    <xdr:to>
      <xdr:col>12</xdr:col>
      <xdr:colOff>617220</xdr:colOff>
      <xdr:row>466</xdr:row>
      <xdr:rowOff>167640</xdr:rowOff>
    </xdr:to>
    <xdr:sp macro="" textlink="">
      <xdr:nvSpPr>
        <xdr:cNvPr id="37" name="TextBox 36">
          <a:extLst>
            <a:ext uri="{FF2B5EF4-FFF2-40B4-BE49-F238E27FC236}">
              <a16:creationId xmlns:a16="http://schemas.microsoft.com/office/drawing/2014/main" id="{ADF71F98-3964-4058-A1A3-F144733C633C}"/>
            </a:ext>
          </a:extLst>
        </xdr:cNvPr>
        <xdr:cNvSpPr txBox="1"/>
      </xdr:nvSpPr>
      <xdr:spPr>
        <a:xfrm>
          <a:off x="7772400" y="75796140"/>
          <a:ext cx="3337560" cy="25908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baseline="0">
              <a:latin typeface="Arial Narrow" panose="020B0606020202030204" pitchFamily="34" charset="0"/>
            </a:rPr>
            <a:t>Debt To EBITDA Ratio - </a:t>
          </a:r>
          <a:r>
            <a:rPr lang="en-US" sz="1100" b="1">
              <a:latin typeface="Arial Narrow" panose="020B0606020202030204" pitchFamily="34" charset="0"/>
            </a:rPr>
            <a:t>Historic &amp; Forecast</a:t>
          </a:r>
          <a:endParaRPr lang="en-PK" sz="1100" b="1">
            <a:ln>
              <a:noFill/>
            </a:ln>
            <a:latin typeface="Arial Narrow" panose="020B0606020202030204" pitchFamily="34" charset="0"/>
          </a:endParaRPr>
        </a:p>
      </xdr:txBody>
    </xdr:sp>
    <xdr:clientData/>
  </xdr:twoCellAnchor>
  <xdr:twoCellAnchor>
    <xdr:from>
      <xdr:col>0</xdr:col>
      <xdr:colOff>0</xdr:colOff>
      <xdr:row>488</xdr:row>
      <xdr:rowOff>0</xdr:rowOff>
    </xdr:from>
    <xdr:to>
      <xdr:col>6</xdr:col>
      <xdr:colOff>545580</xdr:colOff>
      <xdr:row>501</xdr:row>
      <xdr:rowOff>167640</xdr:rowOff>
    </xdr:to>
    <xdr:graphicFrame macro="">
      <xdr:nvGraphicFramePr>
        <xdr:cNvPr id="38" name="Chart 37">
          <a:extLst>
            <a:ext uri="{FF2B5EF4-FFF2-40B4-BE49-F238E27FC236}">
              <a16:creationId xmlns:a16="http://schemas.microsoft.com/office/drawing/2014/main" id="{5A259C0F-2243-4444-A6B6-CA27C78B3C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190500</xdr:colOff>
      <xdr:row>485</xdr:row>
      <xdr:rowOff>7620</xdr:rowOff>
    </xdr:from>
    <xdr:to>
      <xdr:col>4</xdr:col>
      <xdr:colOff>571500</xdr:colOff>
      <xdr:row>486</xdr:row>
      <xdr:rowOff>68580</xdr:rowOff>
    </xdr:to>
    <xdr:sp macro="" textlink="">
      <xdr:nvSpPr>
        <xdr:cNvPr id="39" name="TextBox 38">
          <a:extLst>
            <a:ext uri="{FF2B5EF4-FFF2-40B4-BE49-F238E27FC236}">
              <a16:creationId xmlns:a16="http://schemas.microsoft.com/office/drawing/2014/main" id="{047C53D4-003D-4B07-A1CD-A90C60F330F7}"/>
            </a:ext>
          </a:extLst>
        </xdr:cNvPr>
        <xdr:cNvSpPr txBox="1"/>
      </xdr:nvSpPr>
      <xdr:spPr>
        <a:xfrm>
          <a:off x="1264920" y="80253840"/>
          <a:ext cx="3337560" cy="25908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baseline="0">
              <a:latin typeface="Arial Narrow" panose="020B0606020202030204" pitchFamily="34" charset="0"/>
            </a:rPr>
            <a:t>Dividend Payout Ratio - </a:t>
          </a:r>
          <a:r>
            <a:rPr lang="en-US" sz="1100" b="1">
              <a:latin typeface="Arial Narrow" panose="020B0606020202030204" pitchFamily="34" charset="0"/>
            </a:rPr>
            <a:t>Historic &amp; Forecast</a:t>
          </a:r>
          <a:endParaRPr lang="en-PK" sz="1100" b="1">
            <a:ln>
              <a:noFill/>
            </a:ln>
            <a:latin typeface="Arial Narrow" panose="020B0606020202030204" pitchFamily="34" charset="0"/>
          </a:endParaRPr>
        </a:p>
      </xdr:txBody>
    </xdr:sp>
    <xdr:clientData/>
  </xdr:twoCellAnchor>
  <xdr:twoCellAnchor>
    <xdr:from>
      <xdr:col>7</xdr:col>
      <xdr:colOff>198120</xdr:colOff>
      <xdr:row>487</xdr:row>
      <xdr:rowOff>137160</xdr:rowOff>
    </xdr:from>
    <xdr:to>
      <xdr:col>15</xdr:col>
      <xdr:colOff>278880</xdr:colOff>
      <xdr:row>501</xdr:row>
      <xdr:rowOff>106680</xdr:rowOff>
    </xdr:to>
    <xdr:graphicFrame macro="">
      <xdr:nvGraphicFramePr>
        <xdr:cNvPr id="40" name="Chart 39">
          <a:extLst>
            <a:ext uri="{FF2B5EF4-FFF2-40B4-BE49-F238E27FC236}">
              <a16:creationId xmlns:a16="http://schemas.microsoft.com/office/drawing/2014/main" id="{8FEAF93D-771F-44DD-B5EA-40AE721A96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388620</xdr:colOff>
      <xdr:row>485</xdr:row>
      <xdr:rowOff>7620</xdr:rowOff>
    </xdr:from>
    <xdr:to>
      <xdr:col>12</xdr:col>
      <xdr:colOff>495300</xdr:colOff>
      <xdr:row>486</xdr:row>
      <xdr:rowOff>68580</xdr:rowOff>
    </xdr:to>
    <xdr:sp macro="" textlink="">
      <xdr:nvSpPr>
        <xdr:cNvPr id="41" name="TextBox 40">
          <a:extLst>
            <a:ext uri="{FF2B5EF4-FFF2-40B4-BE49-F238E27FC236}">
              <a16:creationId xmlns:a16="http://schemas.microsoft.com/office/drawing/2014/main" id="{BC3DF96B-B6EB-4D2D-9B13-407D53D4A321}"/>
            </a:ext>
          </a:extLst>
        </xdr:cNvPr>
        <xdr:cNvSpPr txBox="1"/>
      </xdr:nvSpPr>
      <xdr:spPr>
        <a:xfrm>
          <a:off x="7650480" y="80451960"/>
          <a:ext cx="3337560" cy="25908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baseline="0">
              <a:latin typeface="Arial Narrow" panose="020B0606020202030204" pitchFamily="34" charset="0"/>
            </a:rPr>
            <a:t>Rate of Return - </a:t>
          </a:r>
          <a:r>
            <a:rPr lang="en-US" sz="1100" b="1">
              <a:latin typeface="Arial Narrow" panose="020B0606020202030204" pitchFamily="34" charset="0"/>
            </a:rPr>
            <a:t>Historic &amp; Forecast</a:t>
          </a:r>
          <a:endParaRPr lang="en-PK" sz="1100" b="1">
            <a:ln>
              <a:noFill/>
            </a:ln>
            <a:latin typeface="Arial Narrow" panose="020B0606020202030204" pitchFamily="34" charset="0"/>
          </a:endParaRPr>
        </a:p>
      </xdr:txBody>
    </xdr:sp>
    <xdr:clientData/>
  </xdr:twoCellAnchor>
  <xdr:twoCellAnchor>
    <xdr:from>
      <xdr:col>0</xdr:col>
      <xdr:colOff>148160</xdr:colOff>
      <xdr:row>367</xdr:row>
      <xdr:rowOff>70564</xdr:rowOff>
    </xdr:from>
    <xdr:to>
      <xdr:col>6</xdr:col>
      <xdr:colOff>692990</xdr:colOff>
      <xdr:row>381</xdr:row>
      <xdr:rowOff>40649</xdr:rowOff>
    </xdr:to>
    <xdr:graphicFrame macro="">
      <xdr:nvGraphicFramePr>
        <xdr:cNvPr id="42" name="Chart 41">
          <a:extLst>
            <a:ext uri="{FF2B5EF4-FFF2-40B4-BE49-F238E27FC236}">
              <a16:creationId xmlns:a16="http://schemas.microsoft.com/office/drawing/2014/main" id="{B82ED157-9E59-4E8F-9C5E-B2463AB13C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592667</xdr:colOff>
      <xdr:row>365</xdr:row>
      <xdr:rowOff>91722</xdr:rowOff>
    </xdr:from>
    <xdr:to>
      <xdr:col>4</xdr:col>
      <xdr:colOff>819292</xdr:colOff>
      <xdr:row>366</xdr:row>
      <xdr:rowOff>152682</xdr:rowOff>
    </xdr:to>
    <xdr:sp macro="" textlink="">
      <xdr:nvSpPr>
        <xdr:cNvPr id="43" name="TextBox 42">
          <a:extLst>
            <a:ext uri="{FF2B5EF4-FFF2-40B4-BE49-F238E27FC236}">
              <a16:creationId xmlns:a16="http://schemas.microsoft.com/office/drawing/2014/main" id="{EC1C8A79-32F0-49F0-A723-AFDFCEBF9032}"/>
            </a:ext>
          </a:extLst>
        </xdr:cNvPr>
        <xdr:cNvSpPr txBox="1"/>
      </xdr:nvSpPr>
      <xdr:spPr>
        <a:xfrm>
          <a:off x="1770945" y="72587555"/>
          <a:ext cx="3408680" cy="25851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rial Narrow" panose="020B0606020202030204" pitchFamily="34" charset="0"/>
            </a:rPr>
            <a:t>Historic &amp; Forecast</a:t>
          </a:r>
          <a:r>
            <a:rPr lang="en-US" sz="1100" b="1" baseline="0">
              <a:latin typeface="Arial Narrow" panose="020B0606020202030204" pitchFamily="34" charset="0"/>
            </a:rPr>
            <a:t> EBITDA &amp; EBIT Trend</a:t>
          </a:r>
          <a:endParaRPr lang="en-PK" sz="1100" b="1">
            <a:ln>
              <a:noFill/>
            </a:ln>
            <a:latin typeface="Arial Narrow" panose="020B0606020202030204" pitchFamily="34" charset="0"/>
          </a:endParaRPr>
        </a:p>
      </xdr:txBody>
    </xdr:sp>
    <xdr:clientData/>
  </xdr:twoCellAnchor>
  <xdr:twoCellAnchor>
    <xdr:from>
      <xdr:col>7</xdr:col>
      <xdr:colOff>338688</xdr:colOff>
      <xdr:row>367</xdr:row>
      <xdr:rowOff>176399</xdr:rowOff>
    </xdr:from>
    <xdr:to>
      <xdr:col>13</xdr:col>
      <xdr:colOff>487278</xdr:colOff>
      <xdr:row>382</xdr:row>
      <xdr:rowOff>0</xdr:rowOff>
    </xdr:to>
    <xdr:graphicFrame macro="">
      <xdr:nvGraphicFramePr>
        <xdr:cNvPr id="44" name="Chart 43">
          <a:extLst>
            <a:ext uri="{FF2B5EF4-FFF2-40B4-BE49-F238E27FC236}">
              <a16:creationId xmlns:a16="http://schemas.microsoft.com/office/drawing/2014/main" id="{87018C71-93EA-4174-A16B-7B605C499C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547701</xdr:colOff>
      <xdr:row>365</xdr:row>
      <xdr:rowOff>87313</xdr:rowOff>
    </xdr:from>
    <xdr:to>
      <xdr:col>12</xdr:col>
      <xdr:colOff>647326</xdr:colOff>
      <xdr:row>366</xdr:row>
      <xdr:rowOff>148273</xdr:rowOff>
    </xdr:to>
    <xdr:sp macro="" textlink="">
      <xdr:nvSpPr>
        <xdr:cNvPr id="45" name="TextBox 44">
          <a:extLst>
            <a:ext uri="{FF2B5EF4-FFF2-40B4-BE49-F238E27FC236}">
              <a16:creationId xmlns:a16="http://schemas.microsoft.com/office/drawing/2014/main" id="{8B49EF9E-D6C5-4779-8B8A-2F4B2A9D1202}"/>
            </a:ext>
          </a:extLst>
        </xdr:cNvPr>
        <xdr:cNvSpPr txBox="1"/>
      </xdr:nvSpPr>
      <xdr:spPr>
        <a:xfrm>
          <a:off x="8199451" y="11549063"/>
          <a:ext cx="3401625" cy="25939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rial Narrow" panose="020B0606020202030204" pitchFamily="34" charset="0"/>
            </a:rPr>
            <a:t>Historic &amp; Forecast</a:t>
          </a:r>
          <a:r>
            <a:rPr lang="en-US" sz="1100" b="1" baseline="0">
              <a:latin typeface="Arial Narrow" panose="020B0606020202030204" pitchFamily="34" charset="0"/>
            </a:rPr>
            <a:t> EBITDA &amp; EBIT Growth Rates</a:t>
          </a:r>
          <a:endParaRPr lang="en-PK" sz="1100" b="1">
            <a:ln>
              <a:noFill/>
            </a:ln>
            <a:latin typeface="Arial Narrow" panose="020B060602020203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298450</xdr:colOff>
      <xdr:row>2</xdr:row>
      <xdr:rowOff>165100</xdr:rowOff>
    </xdr:from>
    <xdr:to>
      <xdr:col>13</xdr:col>
      <xdr:colOff>0</xdr:colOff>
      <xdr:row>11</xdr:row>
      <xdr:rowOff>15240</xdr:rowOff>
    </xdr:to>
    <xdr:sp macro="" textlink="">
      <xdr:nvSpPr>
        <xdr:cNvPr id="2" name="TextBox 1">
          <a:extLst>
            <a:ext uri="{FF2B5EF4-FFF2-40B4-BE49-F238E27FC236}">
              <a16:creationId xmlns:a16="http://schemas.microsoft.com/office/drawing/2014/main" id="{71C04C3A-EE0D-4942-8C90-6CC9BD669402}"/>
            </a:ext>
          </a:extLst>
        </xdr:cNvPr>
        <xdr:cNvSpPr txBox="1"/>
      </xdr:nvSpPr>
      <xdr:spPr>
        <a:xfrm>
          <a:off x="3994150" y="629920"/>
          <a:ext cx="5614670" cy="148082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Scenario assumes the</a:t>
          </a:r>
          <a:r>
            <a:rPr lang="en-US" sz="1100" b="1" u="sng" baseline="0"/>
            <a:t> following:</a:t>
          </a:r>
        </a:p>
        <a:p>
          <a:r>
            <a:rPr lang="en-US" sz="1100" baseline="0"/>
            <a:t>1. R</a:t>
          </a:r>
          <a:r>
            <a:rPr lang="en-US" sz="1100"/>
            <a:t>ecent trend of reduction in sales</a:t>
          </a:r>
          <a:r>
            <a:rPr lang="en-US" sz="1100" baseline="0"/>
            <a:t> in UK will be halted and the company will be able to continue operating in the local UK market with at-least stagnation in sales growth (at current levels).</a:t>
          </a:r>
        </a:p>
        <a:p>
          <a:r>
            <a:rPr lang="en-US" sz="1100" baseline="0"/>
            <a:t>2. Since the company already has strong presence in Western Europe, it will continue to see at-least modest sales growth in Eurozone.</a:t>
          </a:r>
        </a:p>
        <a:p>
          <a:r>
            <a:rPr lang="en-US" sz="1100"/>
            <a:t>3.</a:t>
          </a:r>
          <a:r>
            <a:rPr lang="en-US" sz="1100" baseline="0"/>
            <a:t> Sales growth in </a:t>
          </a:r>
          <a:r>
            <a:rPr lang="en-US" sz="1100"/>
            <a:t>Asia</a:t>
          </a:r>
          <a:r>
            <a:rPr lang="en-US" sz="1100" baseline="0"/>
            <a:t> &amp; Rest of the word (including North America) will continue at least at decent moderate levels.</a:t>
          </a:r>
          <a:endParaRPr lang="en-PK" sz="1100"/>
        </a:p>
      </xdr:txBody>
    </xdr:sp>
    <xdr:clientData/>
  </xdr:twoCellAnchor>
  <xdr:twoCellAnchor>
    <xdr:from>
      <xdr:col>5</xdr:col>
      <xdr:colOff>298450</xdr:colOff>
      <xdr:row>33</xdr:row>
      <xdr:rowOff>165100</xdr:rowOff>
    </xdr:from>
    <xdr:to>
      <xdr:col>13</xdr:col>
      <xdr:colOff>0</xdr:colOff>
      <xdr:row>40</xdr:row>
      <xdr:rowOff>83820</xdr:rowOff>
    </xdr:to>
    <xdr:sp macro="" textlink="">
      <xdr:nvSpPr>
        <xdr:cNvPr id="3" name="TextBox 2">
          <a:extLst>
            <a:ext uri="{FF2B5EF4-FFF2-40B4-BE49-F238E27FC236}">
              <a16:creationId xmlns:a16="http://schemas.microsoft.com/office/drawing/2014/main" id="{1D146445-9417-422B-AC07-FE516BEF1910}"/>
            </a:ext>
          </a:extLst>
        </xdr:cNvPr>
        <xdr:cNvSpPr txBox="1"/>
      </xdr:nvSpPr>
      <xdr:spPr>
        <a:xfrm>
          <a:off x="3994150" y="6146800"/>
          <a:ext cx="5614670" cy="119888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Scenario assumes the</a:t>
          </a:r>
          <a:r>
            <a:rPr lang="en-US" sz="1100" b="1" u="sng" baseline="0"/>
            <a:t> following:</a:t>
          </a:r>
        </a:p>
        <a:p>
          <a:r>
            <a:rPr lang="en-US" sz="1100" baseline="0"/>
            <a:t>1. R</a:t>
          </a:r>
          <a:r>
            <a:rPr lang="en-US" sz="1100"/>
            <a:t>ecent trend of reduction in sales</a:t>
          </a:r>
          <a:r>
            <a:rPr lang="en-US" sz="1100" baseline="0"/>
            <a:t> in UK will </a:t>
          </a:r>
          <a:r>
            <a:rPr lang="en-US" sz="1100" b="1" u="sng" baseline="0"/>
            <a:t>NOT</a:t>
          </a:r>
          <a:r>
            <a:rPr lang="en-US" sz="1100" baseline="0"/>
            <a:t> be halted any time soon.</a:t>
          </a:r>
        </a:p>
        <a:p>
          <a:r>
            <a:rPr lang="en-US" sz="1100" baseline="0"/>
            <a:t>2. Since the company already has strong presence in Western Europe, further growth will become increasingly difficult to get and growth will be at very modest levels.</a:t>
          </a:r>
        </a:p>
        <a:p>
          <a:r>
            <a:rPr lang="en-US" sz="1100"/>
            <a:t>3.</a:t>
          </a:r>
          <a:r>
            <a:rPr lang="en-US" sz="1100" baseline="0"/>
            <a:t> Sales growth is in </a:t>
          </a:r>
          <a:r>
            <a:rPr lang="en-US" sz="1100"/>
            <a:t>Asia</a:t>
          </a:r>
          <a:r>
            <a:rPr lang="en-US" sz="1100" baseline="0"/>
            <a:t> &amp; Rest of the word (including North America) stays considerably below current expectations. </a:t>
          </a:r>
          <a:endParaRPr lang="en-PK" sz="1100"/>
        </a:p>
      </xdr:txBody>
    </xdr:sp>
    <xdr:clientData/>
  </xdr:twoCellAnchor>
  <xdr:twoCellAnchor>
    <xdr:from>
      <xdr:col>5</xdr:col>
      <xdr:colOff>298450</xdr:colOff>
      <xdr:row>65</xdr:row>
      <xdr:rowOff>165100</xdr:rowOff>
    </xdr:from>
    <xdr:to>
      <xdr:col>13</xdr:col>
      <xdr:colOff>0</xdr:colOff>
      <xdr:row>71</xdr:row>
      <xdr:rowOff>76200</xdr:rowOff>
    </xdr:to>
    <xdr:sp macro="" textlink="">
      <xdr:nvSpPr>
        <xdr:cNvPr id="4" name="TextBox 3">
          <a:extLst>
            <a:ext uri="{FF2B5EF4-FFF2-40B4-BE49-F238E27FC236}">
              <a16:creationId xmlns:a16="http://schemas.microsoft.com/office/drawing/2014/main" id="{9C6B4272-2A99-4057-AECB-D2FCEDCA0451}"/>
            </a:ext>
          </a:extLst>
        </xdr:cNvPr>
        <xdr:cNvSpPr txBox="1"/>
      </xdr:nvSpPr>
      <xdr:spPr>
        <a:xfrm>
          <a:off x="3994150" y="11838940"/>
          <a:ext cx="5614670" cy="10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Scenario assumes the</a:t>
          </a:r>
          <a:r>
            <a:rPr lang="en-US" sz="1100" b="1" u="sng" baseline="0"/>
            <a:t> following:</a:t>
          </a:r>
        </a:p>
        <a:p>
          <a:r>
            <a:rPr lang="en-US" sz="1100" baseline="0"/>
            <a:t>1. R</a:t>
          </a:r>
          <a:r>
            <a:rPr lang="en-US" sz="1100"/>
            <a:t>ecent trend of reduction in sales</a:t>
          </a:r>
          <a:r>
            <a:rPr lang="en-US" sz="1100" baseline="0"/>
            <a:t> in UK is reversed and decent growth resumes.</a:t>
          </a:r>
        </a:p>
        <a:p>
          <a:r>
            <a:rPr lang="en-US" sz="1100" baseline="0"/>
            <a:t>2. Demand growth in Eurozone stays robust.</a:t>
          </a:r>
        </a:p>
        <a:p>
          <a:r>
            <a:rPr lang="en-US" sz="1100"/>
            <a:t>3.</a:t>
          </a:r>
          <a:r>
            <a:rPr lang="en-US" sz="1100" baseline="0"/>
            <a:t> Sales growth is in </a:t>
          </a:r>
          <a:r>
            <a:rPr lang="en-US" sz="1100"/>
            <a:t>Asia</a:t>
          </a:r>
          <a:r>
            <a:rPr lang="en-US" sz="1100" baseline="0"/>
            <a:t> &amp; Rest of the word (including North America) meets or exceeds expectations/prospects. </a:t>
          </a:r>
          <a:endParaRPr lang="en-PK"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119944</xdr:colOff>
      <xdr:row>22</xdr:row>
      <xdr:rowOff>119945</xdr:rowOff>
    </xdr:from>
    <xdr:to>
      <xdr:col>17</xdr:col>
      <xdr:colOff>169333</xdr:colOff>
      <xdr:row>29</xdr:row>
      <xdr:rowOff>148168</xdr:rowOff>
    </xdr:to>
    <xdr:sp macro="" textlink="">
      <xdr:nvSpPr>
        <xdr:cNvPr id="2" name="TextBox 1">
          <a:extLst>
            <a:ext uri="{FF2B5EF4-FFF2-40B4-BE49-F238E27FC236}">
              <a16:creationId xmlns:a16="http://schemas.microsoft.com/office/drawing/2014/main" id="{6886D1F5-CF09-4AA6-B9DC-DF088956A14D}"/>
            </a:ext>
          </a:extLst>
        </xdr:cNvPr>
        <xdr:cNvSpPr txBox="1"/>
      </xdr:nvSpPr>
      <xdr:spPr>
        <a:xfrm>
          <a:off x="119944" y="4198056"/>
          <a:ext cx="10484556" cy="1312334"/>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The model is based on three revenue scenarios</a:t>
          </a:r>
          <a:r>
            <a:rPr lang="en-US" sz="1100" baseline="0"/>
            <a:t> which assume different revenue growth rates. These scenarios are </a:t>
          </a:r>
          <a:r>
            <a:rPr lang="en-US" sz="1100" b="1" baseline="0"/>
            <a:t>'Base Case</a:t>
          </a:r>
          <a:r>
            <a:rPr lang="en-US" sz="1100" baseline="0"/>
            <a:t>', </a:t>
          </a:r>
          <a:r>
            <a:rPr lang="en-US" sz="1100" b="1" baseline="0"/>
            <a:t>'Upside Case</a:t>
          </a:r>
          <a:r>
            <a:rPr lang="en-US" sz="1100" baseline="0"/>
            <a:t>' and </a:t>
          </a:r>
          <a:r>
            <a:rPr lang="en-US" sz="1100" b="1" baseline="0"/>
            <a:t>'Downside Case</a:t>
          </a:r>
          <a:r>
            <a:rPr lang="en-US" sz="1100" baseline="0"/>
            <a:t>'.</a:t>
          </a:r>
          <a:endParaRPr lang="en-US" sz="1100"/>
        </a:p>
        <a:p>
          <a:r>
            <a:rPr lang="en-US" sz="1100"/>
            <a:t>2. The model assumes that prices in the Eurozone are agreed for the year based on the average exchange rate of the preceding year and then stay constant.</a:t>
          </a:r>
        </a:p>
        <a:p>
          <a:r>
            <a:rPr lang="en-US" sz="1100"/>
            <a:t>3. Since nearly half of the company</a:t>
          </a:r>
          <a:r>
            <a:rPr lang="en-US" sz="1100" baseline="0"/>
            <a:t> sales are in Eurozone (where the prices and contracts with the distributors are denominated in Euros), </a:t>
          </a:r>
          <a:r>
            <a:rPr lang="en-US" sz="1100" b="1" baseline="0"/>
            <a:t>the model does incorporate the affect on revenue of any changes in the exchange rates</a:t>
          </a:r>
          <a:r>
            <a:rPr lang="en-US" sz="1100" baseline="0"/>
            <a:t>.</a:t>
          </a:r>
        </a:p>
        <a:p>
          <a:r>
            <a:rPr lang="en-US" sz="1100" baseline="0"/>
            <a:t>4. The model ignores and impact of inflation on either the prices or the costs.</a:t>
          </a:r>
        </a:p>
        <a:p>
          <a:r>
            <a:rPr lang="en-US" sz="1100" baseline="0"/>
            <a:t>5. To avoide the strengthening/weaking of Euro affect the cost calculations, all cost estimates have been made with relation to the number of units produced/sold rather than using %ages of the absolute revenue figures.</a:t>
          </a:r>
          <a:endParaRPr lang="en-PK" sz="1100"/>
        </a:p>
      </xdr:txBody>
    </xdr:sp>
    <xdr:clientData/>
  </xdr:twoCellAnchor>
  <xdr:twoCellAnchor>
    <xdr:from>
      <xdr:col>0</xdr:col>
      <xdr:colOff>127001</xdr:colOff>
      <xdr:row>14</xdr:row>
      <xdr:rowOff>141116</xdr:rowOff>
    </xdr:from>
    <xdr:to>
      <xdr:col>17</xdr:col>
      <xdr:colOff>176390</xdr:colOff>
      <xdr:row>20</xdr:row>
      <xdr:rowOff>28223</xdr:rowOff>
    </xdr:to>
    <xdr:sp macro="" textlink="">
      <xdr:nvSpPr>
        <xdr:cNvPr id="3" name="TextBox 2">
          <a:extLst>
            <a:ext uri="{FF2B5EF4-FFF2-40B4-BE49-F238E27FC236}">
              <a16:creationId xmlns:a16="http://schemas.microsoft.com/office/drawing/2014/main" id="{D14E72D9-0D3B-4C37-B45C-DA4B7FF730A4}"/>
            </a:ext>
          </a:extLst>
        </xdr:cNvPr>
        <xdr:cNvSpPr txBox="1"/>
      </xdr:nvSpPr>
      <xdr:spPr>
        <a:xfrm>
          <a:off x="127001" y="2758727"/>
          <a:ext cx="10484556" cy="94544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The model works within the existing constraints</a:t>
          </a:r>
          <a:r>
            <a:rPr lang="en-US" sz="1100" baseline="0"/>
            <a:t> of the maximum production capacity of 61,540 Units. i.e. The model attempts to estimate the intrinsic value of the business by assuming probable growth scenarios within the constraints of existing manufacturing capacity and existing market share.</a:t>
          </a:r>
        </a:p>
        <a:p>
          <a:r>
            <a:rPr lang="en-US" sz="1100" baseline="0"/>
            <a:t>2. An alternative course of action could be to assume growth beyond the constraints of the existing production capacity. However, such a model will need to incorporate the cost of adding to the plant capacity, the total addressable market size and the likely correlation between the increased marketing spend and increased market share.</a:t>
          </a:r>
          <a:endParaRPr lang="en-PK" sz="1100"/>
        </a:p>
      </xdr:txBody>
    </xdr:sp>
    <xdr:clientData/>
  </xdr:twoCellAnchor>
  <xdr:twoCellAnchor>
    <xdr:from>
      <xdr:col>0</xdr:col>
      <xdr:colOff>127001</xdr:colOff>
      <xdr:row>4</xdr:row>
      <xdr:rowOff>141116</xdr:rowOff>
    </xdr:from>
    <xdr:to>
      <xdr:col>17</xdr:col>
      <xdr:colOff>176390</xdr:colOff>
      <xdr:row>12</xdr:row>
      <xdr:rowOff>28226</xdr:rowOff>
    </xdr:to>
    <xdr:sp macro="" textlink="">
      <xdr:nvSpPr>
        <xdr:cNvPr id="4" name="TextBox 3">
          <a:extLst>
            <a:ext uri="{FF2B5EF4-FFF2-40B4-BE49-F238E27FC236}">
              <a16:creationId xmlns:a16="http://schemas.microsoft.com/office/drawing/2014/main" id="{C951ACC1-312D-4BD5-8A79-8830AB334528}"/>
            </a:ext>
          </a:extLst>
        </xdr:cNvPr>
        <xdr:cNvSpPr txBox="1"/>
      </xdr:nvSpPr>
      <xdr:spPr>
        <a:xfrm>
          <a:off x="127001" y="2532949"/>
          <a:ext cx="10484556" cy="1121833"/>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The model does not assume any fundamental changes</a:t>
          </a:r>
          <a:r>
            <a:rPr lang="en-US" sz="1100" baseline="0"/>
            <a:t> in the business strategy or underlying business model. It attempts to estimate an intrinsic value of the business under the  assumption that it continues to operate and seek organic growth with no fundamental change in the mission, competition strategy, marketing and expansion/diversification strategy. </a:t>
          </a:r>
        </a:p>
        <a:p>
          <a:endParaRPr lang="en-US" sz="1100" baseline="0"/>
        </a:p>
        <a:p>
          <a:r>
            <a:rPr lang="en-US" sz="1100" baseline="0"/>
            <a:t>2. The model does not assume replacement of long-term debt after the 10 years note matures in 2021. The result is an assumption that dividend payout pattern will have to alter to accumulate sufficient cash for the repayment of the long-term debt. An alternative method would be to assume replacement of existing debt by issuing fresh debt. However such a method will require detailed debt modeling including estimation of the cost of issuance of new debt. </a:t>
          </a:r>
          <a:endParaRPr lang="en-PK"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F8F12-E4CB-4365-ACD6-E45CC9BFE880}">
  <dimension ref="B1:O44"/>
  <sheetViews>
    <sheetView showGridLines="0" tabSelected="1" zoomScale="80" zoomScaleNormal="80" workbookViewId="0">
      <selection activeCell="K15" sqref="K15"/>
    </sheetView>
  </sheetViews>
  <sheetFormatPr defaultColWidth="9.1796875" defaultRowHeight="14" x14ac:dyDescent="0.3"/>
  <cols>
    <col min="1" max="2" width="11" style="340" customWidth="1"/>
    <col min="3" max="3" width="29.1796875" style="340" customWidth="1"/>
    <col min="4" max="13" width="11" style="340" customWidth="1"/>
    <col min="14" max="14" width="13.1796875" style="340" customWidth="1"/>
    <col min="15" max="22" width="11" style="340" customWidth="1"/>
    <col min="23" max="25" width="9.1796875" style="340"/>
    <col min="26" max="26" width="9.1796875" style="340" customWidth="1"/>
    <col min="27" max="16384" width="9.1796875" style="340"/>
  </cols>
  <sheetData>
    <row r="1" spans="2:15" ht="19.5" customHeight="1" x14ac:dyDescent="0.3"/>
    <row r="2" spans="2:15" ht="19.5" customHeight="1" x14ac:dyDescent="0.3">
      <c r="C2" s="341"/>
    </row>
    <row r="3" spans="2:15" ht="19.5" customHeight="1" x14ac:dyDescent="0.3">
      <c r="B3" s="321"/>
      <c r="C3" s="321"/>
      <c r="D3" s="321"/>
      <c r="E3" s="321"/>
      <c r="F3" s="321"/>
      <c r="G3" s="321"/>
      <c r="H3" s="321"/>
      <c r="I3" s="321"/>
      <c r="J3" s="321"/>
      <c r="K3" s="321"/>
      <c r="L3" s="321"/>
      <c r="M3" s="321"/>
      <c r="N3" s="321"/>
      <c r="O3" s="321"/>
    </row>
    <row r="4" spans="2:15" ht="19.5" customHeight="1" x14ac:dyDescent="0.3">
      <c r="B4" s="321"/>
      <c r="C4" s="344" t="s">
        <v>280</v>
      </c>
      <c r="D4" s="345"/>
      <c r="E4" s="345"/>
      <c r="F4" s="345"/>
      <c r="G4" s="345"/>
      <c r="H4" s="345"/>
      <c r="I4" s="345"/>
      <c r="J4" s="345"/>
      <c r="K4" s="345"/>
      <c r="L4" s="321"/>
      <c r="M4" s="321"/>
      <c r="N4" s="321"/>
      <c r="O4" s="321"/>
    </row>
    <row r="5" spans="2:15" ht="19.5" customHeight="1" x14ac:dyDescent="0.3">
      <c r="B5" s="321"/>
      <c r="C5" s="346" t="s">
        <v>281</v>
      </c>
      <c r="D5" s="346"/>
      <c r="E5" s="346"/>
      <c r="F5" s="346"/>
      <c r="G5" s="346"/>
      <c r="H5" s="346"/>
      <c r="I5" s="346"/>
      <c r="J5" s="346"/>
      <c r="K5" s="346"/>
      <c r="L5" s="343"/>
      <c r="M5" s="321"/>
      <c r="N5" s="321"/>
      <c r="O5" s="321"/>
    </row>
    <row r="6" spans="2:15" ht="19.5" customHeight="1" x14ac:dyDescent="0.3">
      <c r="B6" s="321"/>
      <c r="C6" s="346"/>
      <c r="D6" s="346"/>
      <c r="E6" s="346"/>
      <c r="F6" s="346"/>
      <c r="G6" s="346"/>
      <c r="H6" s="346"/>
      <c r="I6" s="346"/>
      <c r="J6" s="346"/>
      <c r="K6" s="346"/>
      <c r="L6" s="343"/>
      <c r="M6" s="321"/>
      <c r="N6" s="321"/>
      <c r="O6" s="321"/>
    </row>
    <row r="7" spans="2:15" ht="19.5" customHeight="1" x14ac:dyDescent="0.3">
      <c r="B7" s="321"/>
      <c r="C7" s="343"/>
      <c r="D7" s="343"/>
      <c r="E7" s="343"/>
      <c r="F7" s="343"/>
      <c r="G7" s="343"/>
      <c r="H7" s="343"/>
      <c r="I7" s="343"/>
      <c r="J7" s="343"/>
      <c r="K7" s="343"/>
      <c r="L7" s="343"/>
      <c r="M7" s="321"/>
      <c r="N7" s="321"/>
      <c r="O7" s="321"/>
    </row>
    <row r="8" spans="2:15" ht="19.5" customHeight="1" x14ac:dyDescent="0.3">
      <c r="B8" s="321"/>
      <c r="C8" s="321"/>
      <c r="D8" s="321"/>
      <c r="E8" s="321"/>
      <c r="F8" s="321"/>
      <c r="G8" s="321"/>
      <c r="H8" s="321"/>
      <c r="I8" s="321"/>
      <c r="J8" s="321"/>
      <c r="K8" s="321"/>
      <c r="L8" s="321"/>
      <c r="M8" s="321"/>
      <c r="N8" s="321"/>
      <c r="O8" s="321"/>
    </row>
    <row r="9" spans="2:15" ht="44.5" x14ac:dyDescent="0.85">
      <c r="B9" s="73"/>
      <c r="C9" s="342" t="s">
        <v>278</v>
      </c>
      <c r="D9" s="73"/>
      <c r="E9" s="73"/>
      <c r="F9" s="73"/>
      <c r="G9" s="73"/>
      <c r="H9" s="73"/>
      <c r="I9" s="73"/>
      <c r="J9" s="73"/>
      <c r="K9" s="73"/>
      <c r="L9" s="73"/>
      <c r="M9" s="73"/>
      <c r="N9" s="73"/>
      <c r="O9" s="73"/>
    </row>
    <row r="10" spans="2:15" ht="27" x14ac:dyDescent="0.5">
      <c r="B10" s="73"/>
      <c r="C10" s="74" t="s">
        <v>104</v>
      </c>
      <c r="D10" s="73"/>
      <c r="E10" s="73"/>
      <c r="F10" s="73"/>
      <c r="G10" s="73"/>
      <c r="H10" s="73"/>
      <c r="I10" s="73"/>
      <c r="J10" s="73"/>
      <c r="K10" s="73"/>
      <c r="L10" s="73"/>
      <c r="M10" s="73"/>
      <c r="N10" s="75" t="s">
        <v>95</v>
      </c>
      <c r="O10" s="73"/>
    </row>
    <row r="11" spans="2:15" ht="19.5" customHeight="1" x14ac:dyDescent="0.3">
      <c r="B11" s="73"/>
      <c r="C11" s="76"/>
      <c r="D11" s="73"/>
      <c r="E11" s="73"/>
      <c r="F11" s="73"/>
      <c r="G11" s="73"/>
      <c r="H11" s="73"/>
      <c r="I11" s="73"/>
      <c r="J11" s="73"/>
      <c r="K11" s="73"/>
      <c r="L11" s="73"/>
      <c r="M11" s="73"/>
      <c r="N11" s="73"/>
      <c r="O11" s="73"/>
    </row>
    <row r="12" spans="2:15" ht="19.5" customHeight="1" x14ac:dyDescent="0.3">
      <c r="B12" s="73"/>
      <c r="C12" s="77" t="s">
        <v>96</v>
      </c>
      <c r="D12" s="73"/>
      <c r="E12" s="73"/>
      <c r="F12" s="73"/>
      <c r="G12" s="73"/>
      <c r="H12" s="73"/>
      <c r="I12" s="73"/>
      <c r="J12" s="73"/>
      <c r="K12" s="73"/>
      <c r="L12" s="73"/>
      <c r="M12" s="73"/>
      <c r="N12" s="73"/>
      <c r="O12" s="73"/>
    </row>
    <row r="13" spans="2:15" ht="19.5" customHeight="1" x14ac:dyDescent="0.35">
      <c r="B13" s="73"/>
      <c r="C13" s="312" t="s">
        <v>274</v>
      </c>
      <c r="D13" s="73"/>
      <c r="E13" s="73"/>
      <c r="F13" s="73"/>
      <c r="G13" s="73"/>
      <c r="H13" s="73"/>
      <c r="I13" s="73"/>
      <c r="J13" s="73"/>
      <c r="K13" s="73"/>
      <c r="L13" s="73"/>
      <c r="M13" s="73"/>
      <c r="N13" s="73"/>
      <c r="O13" s="73"/>
    </row>
    <row r="14" spans="2:15" ht="19.5" customHeight="1" x14ac:dyDescent="0.35">
      <c r="B14" s="73"/>
      <c r="C14" s="312" t="s">
        <v>267</v>
      </c>
      <c r="D14" s="73"/>
      <c r="E14" s="73"/>
      <c r="F14" s="73"/>
      <c r="G14" s="73"/>
      <c r="H14" s="73"/>
      <c r="I14" s="73"/>
      <c r="J14" s="73"/>
      <c r="K14" s="73"/>
      <c r="L14" s="73"/>
      <c r="M14" s="73"/>
      <c r="N14" s="73"/>
      <c r="O14" s="73"/>
    </row>
    <row r="15" spans="2:15" ht="19.5" customHeight="1" x14ac:dyDescent="0.35">
      <c r="B15" s="73"/>
      <c r="C15" s="312" t="s">
        <v>268</v>
      </c>
      <c r="D15" s="73"/>
      <c r="E15" s="73"/>
      <c r="F15" s="73"/>
      <c r="G15" s="73"/>
      <c r="H15" s="73"/>
      <c r="I15" s="73"/>
      <c r="J15" s="73"/>
      <c r="K15" s="73"/>
      <c r="L15" s="73"/>
      <c r="M15" s="73"/>
      <c r="N15" s="73"/>
      <c r="O15" s="73"/>
    </row>
    <row r="16" spans="2:15" ht="19.5" customHeight="1" x14ac:dyDescent="0.3">
      <c r="B16" s="73"/>
      <c r="C16" s="78"/>
      <c r="D16" s="73"/>
      <c r="E16" s="73"/>
      <c r="F16" s="73"/>
      <c r="G16" s="73"/>
      <c r="H16" s="73"/>
      <c r="I16" s="73"/>
      <c r="J16" s="73"/>
      <c r="K16" s="73"/>
      <c r="L16" s="73"/>
      <c r="M16" s="73"/>
      <c r="N16" s="73"/>
      <c r="O16" s="73"/>
    </row>
    <row r="17" spans="2:15" ht="19.5" customHeight="1" x14ac:dyDescent="0.3">
      <c r="B17" s="319"/>
      <c r="C17" s="79" t="s">
        <v>97</v>
      </c>
      <c r="D17" s="79"/>
      <c r="E17" s="79"/>
      <c r="F17" s="79"/>
      <c r="G17" s="79"/>
      <c r="H17" s="79"/>
      <c r="I17" s="79"/>
      <c r="J17" s="79"/>
      <c r="K17" s="79"/>
      <c r="L17" s="79"/>
      <c r="M17" s="79"/>
      <c r="N17" s="79"/>
      <c r="O17" s="79"/>
    </row>
    <row r="18" spans="2:15" ht="19.5" customHeight="1" x14ac:dyDescent="0.3">
      <c r="B18" s="319"/>
      <c r="C18" s="353" t="s">
        <v>285</v>
      </c>
      <c r="D18" s="79"/>
      <c r="E18" s="79"/>
      <c r="F18" s="79"/>
      <c r="G18" s="79"/>
      <c r="H18" s="79"/>
      <c r="I18" s="79"/>
      <c r="J18" s="79"/>
      <c r="K18" s="79"/>
      <c r="L18" s="79"/>
      <c r="M18" s="79"/>
      <c r="N18" s="79"/>
      <c r="O18" s="79"/>
    </row>
    <row r="19" spans="2:15" ht="19.5" customHeight="1" x14ac:dyDescent="0.3">
      <c r="B19" s="319"/>
      <c r="C19" s="246" t="s">
        <v>279</v>
      </c>
      <c r="D19" s="79"/>
      <c r="E19" s="79"/>
      <c r="F19" s="79"/>
      <c r="G19" s="79"/>
      <c r="H19" s="79"/>
      <c r="I19" s="79"/>
      <c r="J19" s="79"/>
      <c r="K19" s="79"/>
      <c r="L19" s="79"/>
      <c r="M19" s="79"/>
      <c r="N19" s="79"/>
      <c r="O19" s="79"/>
    </row>
    <row r="20" spans="2:15" ht="19.5" customHeight="1" x14ac:dyDescent="0.3">
      <c r="B20" s="319"/>
      <c r="C20" s="320"/>
      <c r="D20" s="319"/>
      <c r="E20" s="319"/>
      <c r="F20" s="319"/>
      <c r="G20" s="319"/>
      <c r="H20" s="319"/>
      <c r="I20" s="319"/>
      <c r="J20" s="319"/>
      <c r="K20" s="319"/>
      <c r="L20" s="319"/>
      <c r="M20" s="319"/>
      <c r="N20" s="319"/>
      <c r="O20" s="319"/>
    </row>
    <row r="21" spans="2:15" ht="19.5" customHeight="1" x14ac:dyDescent="0.3">
      <c r="B21" s="319"/>
      <c r="C21" s="320"/>
      <c r="D21" s="319"/>
      <c r="E21" s="319"/>
      <c r="F21" s="319"/>
      <c r="G21" s="319"/>
      <c r="H21" s="319"/>
      <c r="I21" s="319"/>
      <c r="J21" s="319"/>
      <c r="K21" s="319"/>
      <c r="L21" s="319"/>
      <c r="M21" s="319"/>
      <c r="N21" s="319"/>
      <c r="O21" s="319"/>
    </row>
    <row r="22" spans="2:15" ht="19.5" customHeight="1" x14ac:dyDescent="0.3">
      <c r="B22" s="319"/>
      <c r="C22" s="319"/>
      <c r="D22" s="319"/>
      <c r="E22" s="319"/>
      <c r="F22" s="319"/>
      <c r="G22" s="319"/>
      <c r="H22" s="319"/>
      <c r="I22" s="319"/>
      <c r="J22" s="319"/>
      <c r="K22" s="319"/>
      <c r="L22" s="319"/>
      <c r="M22" s="319"/>
      <c r="N22" s="319"/>
      <c r="O22" s="319"/>
    </row>
    <row r="23" spans="2:15" ht="19.5" customHeight="1" x14ac:dyDescent="0.3">
      <c r="B23" s="319"/>
      <c r="C23" s="319"/>
      <c r="D23" s="319"/>
      <c r="E23" s="319"/>
      <c r="F23" s="319"/>
      <c r="G23" s="319"/>
      <c r="H23" s="319"/>
      <c r="I23" s="319"/>
      <c r="J23" s="319"/>
      <c r="K23" s="319"/>
      <c r="L23" s="319"/>
      <c r="M23" s="319"/>
      <c r="N23" s="319"/>
      <c r="O23" s="319"/>
    </row>
    <row r="24" spans="2:15" ht="19.5" customHeight="1" x14ac:dyDescent="0.3">
      <c r="B24" s="319"/>
      <c r="C24" s="319"/>
      <c r="D24" s="319"/>
      <c r="E24" s="319"/>
      <c r="F24" s="319"/>
      <c r="G24" s="319"/>
      <c r="H24" s="319"/>
      <c r="I24" s="319"/>
      <c r="J24" s="319"/>
      <c r="K24" s="319"/>
      <c r="L24" s="319"/>
      <c r="M24" s="319"/>
      <c r="N24" s="319"/>
      <c r="O24" s="319"/>
    </row>
    <row r="25" spans="2:15" ht="19.5" customHeight="1" x14ac:dyDescent="0.3">
      <c r="B25" s="319"/>
      <c r="C25" s="319"/>
      <c r="D25" s="319"/>
      <c r="E25" s="319"/>
      <c r="F25" s="319"/>
      <c r="G25" s="319"/>
      <c r="H25" s="319"/>
      <c r="I25" s="319"/>
      <c r="J25" s="319"/>
      <c r="K25" s="319"/>
      <c r="L25" s="319"/>
      <c r="M25" s="319"/>
      <c r="N25" s="319"/>
      <c r="O25" s="319"/>
    </row>
    <row r="26" spans="2:15" ht="19.5" customHeight="1" x14ac:dyDescent="0.3">
      <c r="B26" s="319"/>
      <c r="C26" s="319"/>
      <c r="D26" s="319"/>
      <c r="E26" s="319"/>
      <c r="F26" s="319"/>
      <c r="G26" s="319"/>
      <c r="H26" s="319"/>
      <c r="I26" s="319"/>
      <c r="J26" s="319"/>
      <c r="K26" s="319"/>
      <c r="L26" s="319"/>
      <c r="M26" s="319"/>
      <c r="N26" s="319"/>
      <c r="O26" s="319"/>
    </row>
    <row r="27" spans="2:15" ht="19.5" customHeight="1" x14ac:dyDescent="0.3">
      <c r="B27" s="319"/>
      <c r="C27" s="319"/>
      <c r="D27" s="319"/>
      <c r="E27" s="319"/>
      <c r="F27" s="319"/>
      <c r="G27" s="319"/>
      <c r="H27" s="319"/>
      <c r="I27" s="319"/>
      <c r="J27" s="319"/>
      <c r="K27" s="319"/>
      <c r="L27" s="319"/>
      <c r="M27" s="319"/>
      <c r="N27" s="319"/>
      <c r="O27" s="319"/>
    </row>
    <row r="28" spans="2:15" ht="19.5" customHeight="1" x14ac:dyDescent="0.3"/>
    <row r="29" spans="2:15" ht="19.5" customHeight="1" x14ac:dyDescent="0.3"/>
    <row r="30" spans="2:15" ht="19.5" customHeight="1" x14ac:dyDescent="0.3"/>
    <row r="31" spans="2:15" ht="19.5" customHeight="1" x14ac:dyDescent="0.3"/>
    <row r="32" spans="2:15" ht="19.5" customHeight="1" x14ac:dyDescent="0.3"/>
    <row r="33" ht="19.5" customHeight="1" x14ac:dyDescent="0.3"/>
    <row r="34" ht="19.5" customHeight="1" x14ac:dyDescent="0.3"/>
    <row r="35" ht="19.5" customHeight="1" x14ac:dyDescent="0.3"/>
    <row r="36" ht="19.5" customHeight="1" x14ac:dyDescent="0.3"/>
    <row r="37" ht="19.5" customHeight="1" x14ac:dyDescent="0.3"/>
    <row r="38" ht="19.5" customHeight="1" x14ac:dyDescent="0.3"/>
    <row r="39" ht="19.5" customHeight="1" x14ac:dyDescent="0.3"/>
    <row r="40" ht="19.5" customHeight="1" x14ac:dyDescent="0.3"/>
    <row r="41" ht="19.5" customHeight="1" x14ac:dyDescent="0.3"/>
    <row r="42" ht="19.5" customHeight="1" x14ac:dyDescent="0.3"/>
    <row r="43" ht="19.5" customHeight="1" x14ac:dyDescent="0.3"/>
    <row r="44" ht="19.5" customHeight="1" x14ac:dyDescent="0.3"/>
  </sheetData>
  <mergeCells count="1">
    <mergeCell ref="C5:K6"/>
  </mergeCells>
  <hyperlinks>
    <hyperlink ref="C13" location="'Business Valuation (DFC) Model'!A1" display="Business Valuation Model" xr:uid="{1EFC556B-C8F1-4867-8E2F-EE55105BBF96}"/>
    <hyperlink ref="C14" location="'Revenue Assumptions'!A1" display="Revenue Assumptions" xr:uid="{5B7CADF9-61CD-45CF-BDC5-3EE967D94BAC}"/>
    <hyperlink ref="C15" location="'Misc. Assumptions'!A1" display="Misc. Business Assumptions" xr:uid="{7D8C6D39-ED64-4731-8EEF-1D91EDC5C449}"/>
  </hyperlinks>
  <pageMargins left="0.7" right="0.7" top="0.75" bottom="0.75" header="0.3" footer="0.3"/>
  <pageSetup scale="91"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97"/>
  <sheetViews>
    <sheetView showGridLines="0" zoomScale="80" zoomScaleNormal="80" workbookViewId="0">
      <pane ySplit="4" topLeftCell="A5" activePane="bottomLeft" state="frozen"/>
      <selection pane="bottomLeft" activeCell="O160" sqref="O160"/>
    </sheetView>
  </sheetViews>
  <sheetFormatPr defaultColWidth="9.1796875" defaultRowHeight="15.5" outlineLevelRow="1" x14ac:dyDescent="0.35"/>
  <cols>
    <col min="1" max="2" width="16.81640625" style="6" customWidth="1"/>
    <col min="3" max="3" width="16.81640625" style="8" customWidth="1"/>
    <col min="4" max="13" width="11.81640625" style="6" customWidth="1"/>
    <col min="14" max="16384" width="9.1796875" style="6"/>
  </cols>
  <sheetData>
    <row r="1" spans="1:16" ht="18" x14ac:dyDescent="0.4">
      <c r="A1" s="180" t="s">
        <v>239</v>
      </c>
      <c r="B1" s="177"/>
      <c r="C1" s="178"/>
      <c r="D1" s="253" t="s">
        <v>50</v>
      </c>
      <c r="E1" s="254"/>
      <c r="F1" s="254"/>
      <c r="G1" s="254"/>
      <c r="H1" s="254"/>
      <c r="I1" s="154" t="s">
        <v>61</v>
      </c>
      <c r="J1" s="155"/>
      <c r="K1" s="155"/>
      <c r="L1" s="155"/>
      <c r="M1" s="155"/>
    </row>
    <row r="2" spans="1:16" ht="21" customHeight="1" x14ac:dyDescent="0.4">
      <c r="A2" s="245" t="s">
        <v>105</v>
      </c>
      <c r="B2" s="180"/>
      <c r="C2" s="181"/>
      <c r="D2" s="255">
        <v>2013</v>
      </c>
      <c r="E2" s="255">
        <f>+D2+1</f>
        <v>2014</v>
      </c>
      <c r="F2" s="255">
        <f t="shared" ref="F2:M2" si="0">+E2+1</f>
        <v>2015</v>
      </c>
      <c r="G2" s="255">
        <f t="shared" si="0"/>
        <v>2016</v>
      </c>
      <c r="H2" s="255">
        <f t="shared" si="0"/>
        <v>2017</v>
      </c>
      <c r="I2" s="252">
        <f t="shared" si="0"/>
        <v>2018</v>
      </c>
      <c r="J2" s="252">
        <f t="shared" si="0"/>
        <v>2019</v>
      </c>
      <c r="K2" s="252">
        <f t="shared" si="0"/>
        <v>2020</v>
      </c>
      <c r="L2" s="252">
        <f t="shared" si="0"/>
        <v>2021</v>
      </c>
      <c r="M2" s="252">
        <f t="shared" si="0"/>
        <v>2022</v>
      </c>
      <c r="N2" s="23"/>
      <c r="O2" s="23"/>
      <c r="P2" s="23"/>
    </row>
    <row r="3" spans="1:16" s="249" customFormat="1" ht="13" x14ac:dyDescent="0.3">
      <c r="A3" s="249" t="s">
        <v>62</v>
      </c>
      <c r="C3" s="250"/>
      <c r="D3" s="251" t="str">
        <f t="shared" ref="D3:H3" si="1">IFERROR(IF(ABS(D158)&gt;1,"ERROR","OK"),"OK")</f>
        <v>OK</v>
      </c>
      <c r="E3" s="251" t="str">
        <f t="shared" si="1"/>
        <v>OK</v>
      </c>
      <c r="F3" s="251" t="str">
        <f t="shared" si="1"/>
        <v>OK</v>
      </c>
      <c r="G3" s="251" t="str">
        <f t="shared" si="1"/>
        <v>OK</v>
      </c>
      <c r="H3" s="251" t="str">
        <f t="shared" si="1"/>
        <v>OK</v>
      </c>
      <c r="I3" s="251" t="str">
        <f>IFERROR(IF(ABS(I158)&gt;1,"ERROR","OK"),"OK")</f>
        <v>OK</v>
      </c>
      <c r="J3" s="251" t="str">
        <f t="shared" ref="J3:M3" si="2">IFERROR(IF(ABS(J158)&gt;1,"ERROR","OK"),"OK")</f>
        <v>OK</v>
      </c>
      <c r="K3" s="251" t="str">
        <f t="shared" si="2"/>
        <v>OK</v>
      </c>
      <c r="L3" s="251" t="str">
        <f t="shared" si="2"/>
        <v>OK</v>
      </c>
      <c r="M3" s="251" t="str">
        <f t="shared" si="2"/>
        <v>OK</v>
      </c>
    </row>
    <row r="4" spans="1:16" ht="18" x14ac:dyDescent="0.4">
      <c r="D4" s="24" t="s">
        <v>260</v>
      </c>
      <c r="E4" s="248">
        <f>C226</f>
        <v>113100</v>
      </c>
      <c r="F4" s="52" t="s">
        <v>240</v>
      </c>
      <c r="G4" s="24"/>
      <c r="H4" s="24" t="s">
        <v>99</v>
      </c>
      <c r="I4" s="247">
        <v>1</v>
      </c>
      <c r="J4" s="24"/>
      <c r="K4" s="24" t="s">
        <v>266</v>
      </c>
      <c r="L4" s="248">
        <f>C254</f>
        <v>111140.83447855221</v>
      </c>
      <c r="M4" s="24" t="s">
        <v>240</v>
      </c>
    </row>
    <row r="6" spans="1:16" ht="20" x14ac:dyDescent="0.4">
      <c r="A6" s="350" t="s">
        <v>63</v>
      </c>
      <c r="B6" s="350"/>
      <c r="C6" s="350"/>
      <c r="D6" s="350"/>
      <c r="E6" s="350"/>
      <c r="F6" s="350"/>
      <c r="G6" s="350"/>
      <c r="H6" s="350"/>
      <c r="I6" s="350"/>
      <c r="J6" s="350"/>
      <c r="K6" s="350"/>
      <c r="L6" s="350"/>
      <c r="M6" s="350"/>
    </row>
    <row r="7" spans="1:16" hidden="1" outlineLevel="1" x14ac:dyDescent="0.35">
      <c r="D7" s="25"/>
      <c r="E7" s="25"/>
      <c r="F7" s="25"/>
      <c r="G7" s="25"/>
      <c r="H7" s="25"/>
      <c r="I7" s="26"/>
      <c r="J7" s="26"/>
      <c r="K7" s="26"/>
      <c r="L7" s="26"/>
      <c r="M7" s="26"/>
    </row>
    <row r="8" spans="1:16" hidden="1" outlineLevel="1" x14ac:dyDescent="0.35">
      <c r="A8" s="7" t="s">
        <v>92</v>
      </c>
      <c r="B8" s="138" t="s">
        <v>105</v>
      </c>
      <c r="C8" s="28"/>
      <c r="D8" s="27"/>
      <c r="E8" s="27"/>
      <c r="F8" s="27"/>
      <c r="G8" s="27"/>
      <c r="H8" s="29"/>
      <c r="I8" s="30"/>
      <c r="J8" s="30"/>
      <c r="K8" s="30"/>
      <c r="L8" s="30"/>
      <c r="M8" s="30"/>
    </row>
    <row r="9" spans="1:16" hidden="1" outlineLevel="1" x14ac:dyDescent="0.35">
      <c r="A9" s="3" t="s">
        <v>241</v>
      </c>
      <c r="B9" s="127"/>
      <c r="C9" s="128"/>
      <c r="D9" s="63"/>
      <c r="E9" s="63"/>
      <c r="F9" s="63"/>
      <c r="G9" s="63"/>
      <c r="H9" s="150"/>
      <c r="I9" s="130">
        <f>'Revenue Assumptions'!I18</f>
        <v>0.04</v>
      </c>
      <c r="J9" s="130">
        <f>'Revenue Assumptions'!J18</f>
        <v>0.04</v>
      </c>
      <c r="K9" s="130">
        <f>'Revenue Assumptions'!K18</f>
        <v>0.04</v>
      </c>
      <c r="L9" s="130">
        <f>'Revenue Assumptions'!L18</f>
        <v>0.04</v>
      </c>
      <c r="M9" s="130">
        <f>'Revenue Assumptions'!M18</f>
        <v>0.04</v>
      </c>
    </row>
    <row r="10" spans="1:16" hidden="1" outlineLevel="1" x14ac:dyDescent="0.35">
      <c r="A10" s="6" t="s">
        <v>136</v>
      </c>
      <c r="B10" s="27"/>
      <c r="C10" s="28"/>
      <c r="D10" s="89"/>
      <c r="E10" s="89"/>
      <c r="F10" s="89"/>
      <c r="G10" s="89"/>
      <c r="H10" s="151"/>
      <c r="I10" s="134">
        <f>'Revenue Assumptions'!I17</f>
        <v>25244.959999999999</v>
      </c>
      <c r="J10" s="134">
        <f>'Revenue Assumptions'!J17</f>
        <v>26254.758399999999</v>
      </c>
      <c r="K10" s="134">
        <f>'Revenue Assumptions'!K17</f>
        <v>27304.948735999998</v>
      </c>
      <c r="L10" s="134">
        <f>'Revenue Assumptions'!L17</f>
        <v>28397.146685439999</v>
      </c>
      <c r="M10" s="134">
        <f>'Revenue Assumptions'!M17</f>
        <v>29533.0325528576</v>
      </c>
    </row>
    <row r="11" spans="1:16" hidden="1" outlineLevel="1" x14ac:dyDescent="0.35">
      <c r="A11" s="6" t="s">
        <v>145</v>
      </c>
      <c r="B11" s="27"/>
      <c r="C11" s="28"/>
      <c r="D11" s="89"/>
      <c r="E11" s="89"/>
      <c r="F11" s="89"/>
      <c r="G11" s="89"/>
      <c r="H11" s="151"/>
      <c r="I11" s="126">
        <f>'Revenue Assumptions'!I30</f>
        <v>1.6025322541870501E-2</v>
      </c>
      <c r="J11" s="126">
        <f>'Revenue Assumptions'!J30</f>
        <v>1.640346463201281E-2</v>
      </c>
      <c r="K11" s="126">
        <f>'Revenue Assumptions'!K30</f>
        <v>2.2588212120668638E-2</v>
      </c>
      <c r="L11" s="126">
        <f>'Revenue Assumptions'!L30</f>
        <v>2.2802553804473602E-2</v>
      </c>
      <c r="M11" s="126">
        <f>'Revenue Assumptions'!M30</f>
        <v>2.3017816495594756E-2</v>
      </c>
    </row>
    <row r="12" spans="1:16" hidden="1" outlineLevel="1" x14ac:dyDescent="0.35">
      <c r="A12" s="6" t="s">
        <v>141</v>
      </c>
      <c r="B12" s="27"/>
      <c r="C12" s="28"/>
      <c r="D12" s="89"/>
      <c r="E12" s="89"/>
      <c r="F12" s="89"/>
      <c r="G12" s="89"/>
      <c r="H12" s="151"/>
      <c r="I12" s="121">
        <f>'Revenue Assumptions'!I29</f>
        <v>25357.960000000003</v>
      </c>
      <c r="J12" s="121">
        <f>'Revenue Assumptions'!J29</f>
        <v>25773.918399999999</v>
      </c>
      <c r="K12" s="121">
        <f>'Revenue Assumptions'!K29</f>
        <v>26356.105136000002</v>
      </c>
      <c r="L12" s="121">
        <f>'Revenue Assumptions'!L29</f>
        <v>26957.091641440005</v>
      </c>
      <c r="M12" s="121">
        <f>'Revenue Assumptions'!M29</f>
        <v>27577.585030097605</v>
      </c>
    </row>
    <row r="13" spans="1:16" hidden="1" outlineLevel="1" x14ac:dyDescent="0.35">
      <c r="A13" s="123" t="s">
        <v>137</v>
      </c>
      <c r="B13" s="124"/>
      <c r="C13" s="125"/>
      <c r="D13" s="141">
        <v>0.47526938134364427</v>
      </c>
      <c r="E13" s="141">
        <v>0.47476843302555871</v>
      </c>
      <c r="F13" s="141">
        <v>0.46462873441791674</v>
      </c>
      <c r="G13" s="141">
        <v>0.46667032650118445</v>
      </c>
      <c r="H13" s="140">
        <v>0.4632616997075073</v>
      </c>
      <c r="I13" s="142">
        <v>0.4632616997075073</v>
      </c>
      <c r="J13" s="142">
        <v>0.4632616997075073</v>
      </c>
      <c r="K13" s="142">
        <v>0.4632616997075073</v>
      </c>
      <c r="L13" s="142">
        <v>0.4632616997075073</v>
      </c>
      <c r="M13" s="142">
        <v>0.4632616997075073</v>
      </c>
    </row>
    <row r="14" spans="1:16" hidden="1" outlineLevel="1" x14ac:dyDescent="0.35">
      <c r="A14" s="123" t="s">
        <v>142</v>
      </c>
      <c r="B14" s="124"/>
      <c r="C14" s="125"/>
      <c r="D14" s="27"/>
      <c r="E14" s="27"/>
      <c r="F14" s="27"/>
      <c r="G14" s="27"/>
      <c r="H14" s="131">
        <v>1.1399999999999999</v>
      </c>
      <c r="I14" s="131">
        <v>1.1399999999999999</v>
      </c>
      <c r="J14" s="131">
        <v>1.1399999999999999</v>
      </c>
      <c r="K14" s="131">
        <v>1.1399999999999999</v>
      </c>
      <c r="L14" s="131">
        <v>1.1399999999999999</v>
      </c>
      <c r="M14" s="131">
        <v>1.1399999999999999</v>
      </c>
    </row>
    <row r="15" spans="1:16" hidden="1" outlineLevel="1" x14ac:dyDescent="0.35">
      <c r="A15" s="6" t="s">
        <v>143</v>
      </c>
      <c r="B15" s="27"/>
      <c r="C15" s="28"/>
      <c r="D15" s="27"/>
      <c r="E15" s="27"/>
      <c r="F15" s="27"/>
      <c r="G15" s="27"/>
      <c r="H15" s="27"/>
      <c r="I15" s="120">
        <f>I10*I13*H14/I14</f>
        <v>11695.023078648033</v>
      </c>
      <c r="J15" s="120">
        <f t="shared" ref="J15:M15" si="3">J10*J13*I14/J14</f>
        <v>12162.824001793955</v>
      </c>
      <c r="K15" s="120">
        <f t="shared" si="3"/>
        <v>12649.336961865713</v>
      </c>
      <c r="L15" s="120">
        <f t="shared" si="3"/>
        <v>13155.310440340341</v>
      </c>
      <c r="M15" s="120">
        <f t="shared" si="3"/>
        <v>13681.522857953954</v>
      </c>
    </row>
    <row r="16" spans="1:16" hidden="1" outlineLevel="1" x14ac:dyDescent="0.35">
      <c r="A16" s="6" t="s">
        <v>246</v>
      </c>
      <c r="B16" s="27"/>
      <c r="C16" s="28"/>
      <c r="D16" s="27"/>
      <c r="E16" s="27"/>
      <c r="F16" s="27"/>
      <c r="G16" s="27"/>
      <c r="H16" s="29"/>
      <c r="I16" s="120">
        <f>I12*I13</f>
        <v>11747.371650714984</v>
      </c>
      <c r="J16" s="120">
        <f t="shared" ref="J16:M16" si="4">J12*J13</f>
        <v>11940.069246106597</v>
      </c>
      <c r="K16" s="120">
        <f t="shared" si="4"/>
        <v>12209.774062973123</v>
      </c>
      <c r="L16" s="120">
        <f t="shared" si="4"/>
        <v>12488.188092984536</v>
      </c>
      <c r="M16" s="120">
        <f t="shared" si="4"/>
        <v>12775.638914871326</v>
      </c>
      <c r="O16" s="17"/>
    </row>
    <row r="17" spans="1:13" hidden="1" outlineLevel="1" x14ac:dyDescent="0.35">
      <c r="A17" s="7" t="s">
        <v>144</v>
      </c>
      <c r="B17" s="27"/>
      <c r="C17" s="28"/>
      <c r="D17" s="133">
        <v>19666.647000000001</v>
      </c>
      <c r="E17" s="133">
        <v>21287.667000000001</v>
      </c>
      <c r="F17" s="133">
        <v>21990.878000000001</v>
      </c>
      <c r="G17" s="133">
        <v>22654.510999999999</v>
      </c>
      <c r="H17" s="133">
        <v>22807.3</v>
      </c>
      <c r="I17" s="132">
        <f>I15+I16</f>
        <v>23442.394729363019</v>
      </c>
      <c r="J17" s="132">
        <f t="shared" ref="J17:M17" si="5">J15+J16</f>
        <v>24102.893247900553</v>
      </c>
      <c r="K17" s="132">
        <f t="shared" si="5"/>
        <v>24859.111024838836</v>
      </c>
      <c r="L17" s="132">
        <f t="shared" si="5"/>
        <v>25643.498533324877</v>
      </c>
      <c r="M17" s="132">
        <f t="shared" si="5"/>
        <v>26457.161772825282</v>
      </c>
    </row>
    <row r="18" spans="1:13" s="4" customFormat="1" hidden="1" outlineLevel="1" x14ac:dyDescent="0.35">
      <c r="A18" s="27" t="s">
        <v>52</v>
      </c>
      <c r="B18" s="135"/>
      <c r="C18" s="136"/>
      <c r="D18" s="137"/>
      <c r="E18" s="34">
        <f>E17/D17-1</f>
        <v>8.2424828187540156E-2</v>
      </c>
      <c r="F18" s="34">
        <f t="shared" ref="F18:M18" si="6">F17/E17-1</f>
        <v>3.3033727932703982E-2</v>
      </c>
      <c r="G18" s="34">
        <f t="shared" si="6"/>
        <v>3.0177649114328187E-2</v>
      </c>
      <c r="H18" s="34">
        <f t="shared" si="6"/>
        <v>6.7443080100029196E-3</v>
      </c>
      <c r="I18" s="34">
        <f t="shared" si="6"/>
        <v>2.7846116347091554E-2</v>
      </c>
      <c r="J18" s="34">
        <f t="shared" si="6"/>
        <v>2.8175385926345609E-2</v>
      </c>
      <c r="K18" s="34">
        <f t="shared" si="6"/>
        <v>3.1374564420981077E-2</v>
      </c>
      <c r="L18" s="34">
        <f t="shared" si="6"/>
        <v>3.1553320941456464E-2</v>
      </c>
      <c r="M18" s="34">
        <f t="shared" si="6"/>
        <v>3.1729806229169988E-2</v>
      </c>
    </row>
    <row r="19" spans="1:13" s="4" customFormat="1" hidden="1" outlineLevel="1" x14ac:dyDescent="0.35">
      <c r="A19" s="27" t="s">
        <v>146</v>
      </c>
      <c r="B19" s="135"/>
      <c r="C19" s="136"/>
      <c r="D19" s="142">
        <v>0.18722912034799422</v>
      </c>
      <c r="E19" s="142">
        <v>0.18281120924216065</v>
      </c>
      <c r="F19" s="142">
        <v>0.17602835410944434</v>
      </c>
      <c r="G19" s="142">
        <v>0.18368540529405705</v>
      </c>
      <c r="H19" s="142">
        <v>0.188502640558986</v>
      </c>
      <c r="I19" s="142">
        <v>0.188502640558986</v>
      </c>
      <c r="J19" s="142">
        <v>0.188502640558986</v>
      </c>
      <c r="K19" s="142">
        <v>0.188502640558986</v>
      </c>
      <c r="L19" s="142">
        <v>0.188502640558986</v>
      </c>
      <c r="M19" s="142">
        <v>0.188502640558986</v>
      </c>
    </row>
    <row r="20" spans="1:13" s="4" customFormat="1" hidden="1" outlineLevel="1" x14ac:dyDescent="0.35">
      <c r="A20" s="27" t="s">
        <v>147</v>
      </c>
      <c r="B20" s="135"/>
      <c r="C20" s="136"/>
      <c r="D20" s="122">
        <v>7747.5410000000002</v>
      </c>
      <c r="E20" s="122">
        <v>8196.8889999999992</v>
      </c>
      <c r="F20" s="122">
        <v>8331.4220000000005</v>
      </c>
      <c r="G20" s="122">
        <v>8917.0079999999998</v>
      </c>
      <c r="H20" s="122">
        <v>9280.3619999999992</v>
      </c>
      <c r="I20" s="120">
        <f>I19*(I10+I12)</f>
        <v>9538.7840399951237</v>
      </c>
      <c r="J20" s="120">
        <f>J19*(J10+J12)</f>
        <v>9807.5429615900539</v>
      </c>
      <c r="K20" s="120">
        <f>K19*(K10+K12)</f>
        <v>10115.250350050001</v>
      </c>
      <c r="L20" s="120">
        <f>L19*(L10+L12)</f>
        <v>10434.420090748308</v>
      </c>
      <c r="M20" s="120">
        <f>M19*(M10+M12)</f>
        <v>10765.502218341511</v>
      </c>
    </row>
    <row r="21" spans="1:13" hidden="1" outlineLevel="1" x14ac:dyDescent="0.35">
      <c r="A21" s="5" t="s">
        <v>51</v>
      </c>
      <c r="B21" s="5"/>
      <c r="C21" s="33"/>
      <c r="D21" s="82">
        <f>D20/D17</f>
        <v>0.39394315665502105</v>
      </c>
      <c r="E21" s="82">
        <f t="shared" ref="E21:H21" si="7">E20/E17</f>
        <v>0.38505342083752053</v>
      </c>
      <c r="F21" s="82">
        <f t="shared" si="7"/>
        <v>0.37885808834008355</v>
      </c>
      <c r="G21" s="82">
        <f t="shared" si="7"/>
        <v>0.39360849589735131</v>
      </c>
      <c r="H21" s="82">
        <f t="shared" si="7"/>
        <v>0.40690314066110411</v>
      </c>
      <c r="I21" s="82">
        <f>I20/I17</f>
        <v>0.406903140661104</v>
      </c>
      <c r="J21" s="82">
        <f>J20/J17</f>
        <v>0.40690314066110406</v>
      </c>
      <c r="K21" s="82">
        <f>K20/K17</f>
        <v>0.40690314066110411</v>
      </c>
      <c r="L21" s="82">
        <f>L20/L17</f>
        <v>0.40690314066110406</v>
      </c>
      <c r="M21" s="82">
        <f>M20/M17</f>
        <v>0.40690314066110406</v>
      </c>
    </row>
    <row r="22" spans="1:13" s="4" customFormat="1" hidden="1" outlineLevel="1" x14ac:dyDescent="0.35">
      <c r="A22" s="27" t="s">
        <v>242</v>
      </c>
      <c r="B22" s="27"/>
      <c r="C22" s="28"/>
      <c r="D22" s="142">
        <v>0.10023453359110682</v>
      </c>
      <c r="E22" s="142">
        <v>0.10928578437932111</v>
      </c>
      <c r="F22" s="142">
        <v>0.105055820832453</v>
      </c>
      <c r="G22" s="142">
        <v>0.1036075599958801</v>
      </c>
      <c r="H22" s="142">
        <v>0.1032181304842379</v>
      </c>
      <c r="I22" s="142">
        <v>0.1032181304842379</v>
      </c>
      <c r="J22" s="142">
        <v>0.1032181304842379</v>
      </c>
      <c r="K22" s="142">
        <v>0.1032181304842379</v>
      </c>
      <c r="L22" s="142">
        <v>0.1032181304842379</v>
      </c>
      <c r="M22" s="142">
        <v>0.1032181304842379</v>
      </c>
    </row>
    <row r="23" spans="1:13" hidden="1" outlineLevel="1" x14ac:dyDescent="0.35">
      <c r="A23" s="5" t="s">
        <v>148</v>
      </c>
      <c r="B23" s="5"/>
      <c r="C23" s="33"/>
      <c r="D23" s="35">
        <v>0.21090046513775326</v>
      </c>
      <c r="E23" s="35">
        <v>0.23018755413639269</v>
      </c>
      <c r="F23" s="35">
        <v>0.22610702492187898</v>
      </c>
      <c r="G23" s="35">
        <v>0.22201445884221468</v>
      </c>
      <c r="H23" s="35">
        <v>0.22280739061616237</v>
      </c>
      <c r="I23" s="82">
        <f>(I22*(I10+I12))/I17</f>
        <v>0.22280739061616237</v>
      </c>
      <c r="J23" s="82">
        <f>(J22*(J10+J12))/J17</f>
        <v>0.22280739061616242</v>
      </c>
      <c r="K23" s="82">
        <f>(K22*(K10+K12))/K17</f>
        <v>0.22280739061616242</v>
      </c>
      <c r="L23" s="82">
        <f>(L22*(L10+L12))/L17</f>
        <v>0.22280739061616239</v>
      </c>
      <c r="M23" s="82">
        <f>(M22*(M10+M12))/M17</f>
        <v>0.22280739061616239</v>
      </c>
    </row>
    <row r="24" spans="1:13" hidden="1" outlineLevel="1" x14ac:dyDescent="0.35">
      <c r="A24" s="5" t="s">
        <v>149</v>
      </c>
      <c r="B24" s="5"/>
      <c r="C24" s="33"/>
      <c r="D24" s="35">
        <v>4.7345132090894804E-2</v>
      </c>
      <c r="E24" s="35">
        <v>4.4517607307555121E-2</v>
      </c>
      <c r="F24" s="35">
        <v>4.4229975719932604E-2</v>
      </c>
      <c r="G24" s="35">
        <v>4.49309190562533E-2</v>
      </c>
      <c r="H24" s="35">
        <v>4.5239155884300199E-2</v>
      </c>
      <c r="I24" s="82">
        <f>(I25*(I10+I12))/I17</f>
        <v>4.5239155884300192E-2</v>
      </c>
      <c r="J24" s="82">
        <f>(J25*(J10+J12))/J17</f>
        <v>4.5239155884300206E-2</v>
      </c>
      <c r="K24" s="82">
        <f>(K25*(K10+K12))/K17</f>
        <v>4.5239155884300206E-2</v>
      </c>
      <c r="L24" s="82">
        <f>(L25*(L10+L12))/L17</f>
        <v>4.5239155884300192E-2</v>
      </c>
      <c r="M24" s="82">
        <f>(M25*(M10+M12))/M17</f>
        <v>4.5239155884300199E-2</v>
      </c>
    </row>
    <row r="25" spans="1:13" hidden="1" outlineLevel="1" x14ac:dyDescent="0.35">
      <c r="A25" s="5" t="s">
        <v>150</v>
      </c>
      <c r="B25" s="5"/>
      <c r="C25" s="33"/>
      <c r="D25" s="143">
        <v>2.2501691638472692E-2</v>
      </c>
      <c r="E25" s="143">
        <v>2.1135554663455108E-2</v>
      </c>
      <c r="F25" s="143">
        <v>2.0550517642087471E-2</v>
      </c>
      <c r="G25" s="143">
        <v>2.0967926665980019E-2</v>
      </c>
      <c r="H25" s="143">
        <v>2.0957568248293791E-2</v>
      </c>
      <c r="I25" s="143">
        <v>2.0957568248293791E-2</v>
      </c>
      <c r="J25" s="143">
        <v>2.0957568248293791E-2</v>
      </c>
      <c r="K25" s="143">
        <v>2.0957568248293791E-2</v>
      </c>
      <c r="L25" s="143">
        <v>2.0957568248293791E-2</v>
      </c>
      <c r="M25" s="143">
        <v>2.0957568248293791E-2</v>
      </c>
    </row>
    <row r="26" spans="1:13" hidden="1" outlineLevel="1" x14ac:dyDescent="0.35">
      <c r="A26" s="5" t="s">
        <v>53</v>
      </c>
      <c r="B26" s="5"/>
      <c r="C26" s="33"/>
      <c r="D26" s="35">
        <v>0.05</v>
      </c>
      <c r="E26" s="35">
        <v>0.05</v>
      </c>
      <c r="F26" s="35">
        <v>0.05</v>
      </c>
      <c r="G26" s="35">
        <v>0.05</v>
      </c>
      <c r="H26" s="35">
        <v>0.05</v>
      </c>
      <c r="I26" s="35">
        <v>0.05</v>
      </c>
      <c r="J26" s="35">
        <v>0.05</v>
      </c>
      <c r="K26" s="35">
        <v>0.05</v>
      </c>
      <c r="L26" s="35">
        <v>0.05</v>
      </c>
      <c r="M26" s="35">
        <v>0.05</v>
      </c>
    </row>
    <row r="27" spans="1:13" hidden="1" outlineLevel="1" x14ac:dyDescent="0.35">
      <c r="A27" s="5" t="s">
        <v>54</v>
      </c>
      <c r="B27" s="36"/>
      <c r="C27" s="37"/>
      <c r="D27" s="35">
        <v>0.2</v>
      </c>
      <c r="E27" s="35">
        <v>0.2</v>
      </c>
      <c r="F27" s="35">
        <v>0.2</v>
      </c>
      <c r="G27" s="35">
        <v>0.2</v>
      </c>
      <c r="H27" s="35">
        <v>0.2</v>
      </c>
      <c r="I27" s="35">
        <v>0.2</v>
      </c>
      <c r="J27" s="35">
        <v>0.2</v>
      </c>
      <c r="K27" s="35">
        <v>0.2</v>
      </c>
      <c r="L27" s="35">
        <v>0.2</v>
      </c>
      <c r="M27" s="35">
        <v>0.2</v>
      </c>
    </row>
    <row r="28" spans="1:13" hidden="1" outlineLevel="1" x14ac:dyDescent="0.35">
      <c r="A28" s="6" t="s">
        <v>55</v>
      </c>
      <c r="C28" s="38"/>
      <c r="D28" s="26">
        <v>29.999874915129155</v>
      </c>
      <c r="E28" s="26">
        <v>30.127733818835104</v>
      </c>
      <c r="F28" s="26">
        <v>29.904240294543946</v>
      </c>
      <c r="G28" s="26">
        <v>30.089080536763735</v>
      </c>
      <c r="H28" s="26">
        <v>29.473758401915173</v>
      </c>
      <c r="I28" s="26">
        <v>29</v>
      </c>
      <c r="J28" s="26">
        <v>29</v>
      </c>
      <c r="K28" s="26">
        <v>29</v>
      </c>
      <c r="L28" s="26">
        <v>29</v>
      </c>
      <c r="M28" s="26">
        <v>29</v>
      </c>
    </row>
    <row r="29" spans="1:13" hidden="1" outlineLevel="1" x14ac:dyDescent="0.35">
      <c r="A29" s="6" t="s">
        <v>56</v>
      </c>
      <c r="C29" s="38"/>
      <c r="D29" s="26">
        <v>46.311812354397347</v>
      </c>
      <c r="E29" s="26">
        <v>47.614954893252794</v>
      </c>
      <c r="F29" s="26">
        <v>48.020150101627316</v>
      </c>
      <c r="G29" s="26">
        <v>46.503794322041657</v>
      </c>
      <c r="H29" s="26">
        <v>44.084026571377279</v>
      </c>
      <c r="I29" s="26">
        <v>44</v>
      </c>
      <c r="J29" s="26">
        <v>44</v>
      </c>
      <c r="K29" s="26">
        <v>44</v>
      </c>
      <c r="L29" s="26">
        <v>44</v>
      </c>
      <c r="M29" s="26">
        <v>44</v>
      </c>
    </row>
    <row r="30" spans="1:13" hidden="1" outlineLevel="1" x14ac:dyDescent="0.35">
      <c r="A30" s="6" t="s">
        <v>57</v>
      </c>
      <c r="C30" s="38"/>
      <c r="D30" s="26">
        <v>29.225615585641947</v>
      </c>
      <c r="E30" s="26">
        <v>29.620794547785142</v>
      </c>
      <c r="F30" s="26">
        <v>32.529355132893279</v>
      </c>
      <c r="G30" s="26">
        <v>31.092363716618848</v>
      </c>
      <c r="H30" s="26">
        <v>27.708122269368371</v>
      </c>
      <c r="I30" s="26">
        <v>30</v>
      </c>
      <c r="J30" s="26">
        <v>30</v>
      </c>
      <c r="K30" s="26">
        <v>30</v>
      </c>
      <c r="L30" s="26">
        <v>30</v>
      </c>
      <c r="M30" s="26">
        <v>30</v>
      </c>
    </row>
    <row r="31" spans="1:13" hidden="1" outlineLevel="1" x14ac:dyDescent="0.35">
      <c r="A31" s="6" t="s">
        <v>58</v>
      </c>
      <c r="D31" s="26">
        <v>0</v>
      </c>
      <c r="E31" s="26">
        <v>0</v>
      </c>
      <c r="F31" s="26">
        <v>0</v>
      </c>
      <c r="G31" s="26">
        <v>0</v>
      </c>
      <c r="H31" s="26">
        <v>0</v>
      </c>
      <c r="I31" s="26">
        <v>0</v>
      </c>
      <c r="J31" s="26">
        <v>0</v>
      </c>
      <c r="K31" s="26">
        <v>0</v>
      </c>
      <c r="L31" s="26">
        <v>0</v>
      </c>
      <c r="M31" s="26">
        <v>0</v>
      </c>
    </row>
    <row r="32" spans="1:13" hidden="1" outlineLevel="1" x14ac:dyDescent="0.35">
      <c r="A32" s="6" t="s">
        <v>60</v>
      </c>
      <c r="D32" s="26">
        <v>0</v>
      </c>
      <c r="E32" s="26">
        <v>0</v>
      </c>
      <c r="F32" s="26">
        <v>0</v>
      </c>
      <c r="G32" s="26">
        <v>0</v>
      </c>
      <c r="H32" s="26">
        <v>0</v>
      </c>
      <c r="I32" s="26">
        <v>0</v>
      </c>
      <c r="J32" s="26">
        <v>0</v>
      </c>
      <c r="K32" s="26">
        <v>0</v>
      </c>
      <c r="L32" s="26">
        <v>-18000</v>
      </c>
      <c r="M32" s="26">
        <v>0</v>
      </c>
    </row>
    <row r="33" spans="1:13" hidden="1" outlineLevel="1" x14ac:dyDescent="0.35">
      <c r="A33" s="6" t="s">
        <v>59</v>
      </c>
      <c r="D33" s="26">
        <v>0</v>
      </c>
      <c r="E33" s="26">
        <v>0</v>
      </c>
      <c r="F33" s="26">
        <v>0</v>
      </c>
      <c r="G33" s="26">
        <v>0</v>
      </c>
      <c r="H33" s="26">
        <v>0</v>
      </c>
      <c r="I33" s="26">
        <v>0</v>
      </c>
      <c r="J33" s="26">
        <v>0</v>
      </c>
      <c r="K33" s="26">
        <v>0</v>
      </c>
      <c r="L33" s="26">
        <v>0</v>
      </c>
      <c r="M33" s="26">
        <v>0</v>
      </c>
    </row>
    <row r="34" spans="1:13" hidden="1" outlineLevel="1" x14ac:dyDescent="0.35">
      <c r="A34" s="6" t="s">
        <v>110</v>
      </c>
      <c r="D34" s="81"/>
      <c r="E34" s="26">
        <v>-5000</v>
      </c>
      <c r="F34" s="26">
        <v>-5000</v>
      </c>
      <c r="G34" s="26">
        <v>-5000.0000000000009</v>
      </c>
      <c r="H34" s="26">
        <v>-5000.0000000000009</v>
      </c>
      <c r="I34" s="26">
        <v>-5000.0000000000009</v>
      </c>
      <c r="J34" s="26">
        <v>0</v>
      </c>
      <c r="K34" s="26">
        <v>0</v>
      </c>
      <c r="L34" s="26">
        <v>0</v>
      </c>
      <c r="M34" s="26">
        <v>-5000.0000000000009</v>
      </c>
    </row>
    <row r="35" spans="1:13" hidden="1" outlineLevel="1" x14ac:dyDescent="0.35">
      <c r="D35" s="25"/>
      <c r="E35" s="25"/>
      <c r="F35" s="25"/>
      <c r="G35" s="25"/>
      <c r="H35" s="25"/>
      <c r="I35" s="26"/>
      <c r="J35" s="26"/>
      <c r="K35" s="26"/>
      <c r="L35" s="26"/>
      <c r="M35" s="26"/>
    </row>
    <row r="36" spans="1:13" hidden="1" outlineLevel="1" x14ac:dyDescent="0.35">
      <c r="A36" s="7" t="s">
        <v>93</v>
      </c>
      <c r="B36" s="138" t="s">
        <v>105</v>
      </c>
      <c r="C36" s="28"/>
      <c r="D36" s="27"/>
      <c r="E36" s="27"/>
      <c r="F36" s="27"/>
      <c r="G36" s="27"/>
      <c r="H36" s="29"/>
      <c r="I36" s="30"/>
      <c r="J36" s="30"/>
      <c r="K36" s="30"/>
      <c r="L36" s="30"/>
      <c r="M36" s="30"/>
    </row>
    <row r="37" spans="1:13" hidden="1" outlineLevel="1" x14ac:dyDescent="0.35">
      <c r="A37" s="3" t="s">
        <v>241</v>
      </c>
      <c r="B37" s="127"/>
      <c r="C37" s="128"/>
      <c r="D37" s="127"/>
      <c r="E37" s="127"/>
      <c r="F37" s="127"/>
      <c r="G37" s="127"/>
      <c r="H37" s="129"/>
      <c r="I37" s="130">
        <f>'Revenue Assumptions'!I50</f>
        <v>0.02</v>
      </c>
      <c r="J37" s="130">
        <f>'Revenue Assumptions'!J50</f>
        <v>0.02</v>
      </c>
      <c r="K37" s="130">
        <f>'Revenue Assumptions'!K50</f>
        <v>0.02</v>
      </c>
      <c r="L37" s="130">
        <f>'Revenue Assumptions'!L50</f>
        <v>0.02</v>
      </c>
      <c r="M37" s="130">
        <f>'Revenue Assumptions'!M50</f>
        <v>0.02</v>
      </c>
    </row>
    <row r="38" spans="1:13" hidden="1" outlineLevel="1" x14ac:dyDescent="0.35">
      <c r="A38" s="6" t="s">
        <v>136</v>
      </c>
      <c r="B38" s="27"/>
      <c r="C38" s="28"/>
      <c r="D38" s="27"/>
      <c r="E38" s="27"/>
      <c r="F38" s="27"/>
      <c r="G38" s="27"/>
      <c r="H38" s="29"/>
      <c r="I38" s="134">
        <f>'Revenue Assumptions'!I49</f>
        <v>24759.48</v>
      </c>
      <c r="J38" s="134">
        <f>'Revenue Assumptions'!J49</f>
        <v>25254.669600000001</v>
      </c>
      <c r="K38" s="134">
        <f>'Revenue Assumptions'!K49</f>
        <v>25759.762992</v>
      </c>
      <c r="L38" s="134">
        <f>'Revenue Assumptions'!L49</f>
        <v>26274.958251840002</v>
      </c>
      <c r="M38" s="134">
        <f>'Revenue Assumptions'!M49</f>
        <v>26800.457416876801</v>
      </c>
    </row>
    <row r="39" spans="1:13" hidden="1" outlineLevel="1" x14ac:dyDescent="0.35">
      <c r="A39" s="6" t="s">
        <v>145</v>
      </c>
      <c r="B39" s="27"/>
      <c r="C39" s="28"/>
      <c r="D39" s="27"/>
      <c r="E39" s="27"/>
      <c r="F39" s="27"/>
      <c r="G39" s="27"/>
      <c r="H39" s="29"/>
      <c r="I39" s="126">
        <f>'Revenue Assumptions'!I62</f>
        <v>-6.3819216283355074E-3</v>
      </c>
      <c r="J39" s="126">
        <f>'Revenue Assumptions'!J62</f>
        <v>-5.5403746644988594E-3</v>
      </c>
      <c r="K39" s="126">
        <f>'Revenue Assumptions'!K62</f>
        <v>1.017101400120346E-3</v>
      </c>
      <c r="L39" s="126">
        <f>'Revenue Assumptions'!L62</f>
        <v>1.2780462109909907E-2</v>
      </c>
      <c r="M39" s="126">
        <f>'Revenue Assumptions'!M62</f>
        <v>1.2986473661341869E-2</v>
      </c>
    </row>
    <row r="40" spans="1:13" hidden="1" outlineLevel="1" x14ac:dyDescent="0.35">
      <c r="A40" s="6" t="s">
        <v>141</v>
      </c>
      <c r="B40" s="27"/>
      <c r="C40" s="28"/>
      <c r="D40" s="27"/>
      <c r="E40" s="27"/>
      <c r="F40" s="27"/>
      <c r="G40" s="27"/>
      <c r="H40" s="29"/>
      <c r="I40" s="121">
        <f>'Revenue Assumptions'!I61</f>
        <v>24798.720000000001</v>
      </c>
      <c r="J40" s="121">
        <f>'Revenue Assumptions'!J61</f>
        <v>24661.325799999999</v>
      </c>
      <c r="K40" s="121">
        <f>'Revenue Assumptions'!K61</f>
        <v>24686.408869000003</v>
      </c>
      <c r="L40" s="121">
        <f>'Revenue Assumptions'!L61</f>
        <v>25001.912582180001</v>
      </c>
      <c r="M40" s="121">
        <f>'Revenue Assumptions'!M61</f>
        <v>25326.599261411651</v>
      </c>
    </row>
    <row r="41" spans="1:13" hidden="1" outlineLevel="1" x14ac:dyDescent="0.35">
      <c r="A41" s="123" t="s">
        <v>137</v>
      </c>
      <c r="B41" s="124"/>
      <c r="C41" s="125"/>
      <c r="D41" s="141">
        <v>0.47526938134364427</v>
      </c>
      <c r="E41" s="141">
        <v>0.47476843302555871</v>
      </c>
      <c r="F41" s="141">
        <v>0.46462873441791674</v>
      </c>
      <c r="G41" s="141">
        <v>0.46667032650118445</v>
      </c>
      <c r="H41" s="140">
        <v>0.4632616997075073</v>
      </c>
      <c r="I41" s="142">
        <v>0.4632616997075073</v>
      </c>
      <c r="J41" s="142">
        <v>0.4632616997075073</v>
      </c>
      <c r="K41" s="142">
        <v>0.4632616997075073</v>
      </c>
      <c r="L41" s="142">
        <v>0.4632616997075073</v>
      </c>
      <c r="M41" s="142">
        <v>0.4632616997075073</v>
      </c>
    </row>
    <row r="42" spans="1:13" hidden="1" outlineLevel="1" x14ac:dyDescent="0.35">
      <c r="A42" s="123" t="s">
        <v>142</v>
      </c>
      <c r="B42" s="124"/>
      <c r="C42" s="125"/>
      <c r="D42" s="27"/>
      <c r="E42" s="27"/>
      <c r="F42" s="27"/>
      <c r="G42" s="27"/>
      <c r="H42" s="131">
        <v>1.1399999999999999</v>
      </c>
      <c r="I42" s="131">
        <v>1.1399999999999999</v>
      </c>
      <c r="J42" s="131">
        <v>1.1399999999999999</v>
      </c>
      <c r="K42" s="131">
        <v>1.1399999999999999</v>
      </c>
      <c r="L42" s="131">
        <v>1.1399999999999999</v>
      </c>
      <c r="M42" s="131">
        <v>1.1399999999999999</v>
      </c>
    </row>
    <row r="43" spans="1:13" hidden="1" outlineLevel="1" x14ac:dyDescent="0.35">
      <c r="A43" s="6" t="s">
        <v>143</v>
      </c>
      <c r="B43" s="27"/>
      <c r="C43" s="28"/>
      <c r="D43" s="27"/>
      <c r="E43" s="27"/>
      <c r="F43" s="27"/>
      <c r="G43" s="27"/>
      <c r="H43" s="29"/>
      <c r="I43" s="120">
        <f>I38*I41*H42/I42</f>
        <v>11470.118788674034</v>
      </c>
      <c r="J43" s="120">
        <f t="shared" ref="J43" si="8">J38*J41*I42/J42</f>
        <v>11699.521164447515</v>
      </c>
      <c r="K43" s="120">
        <f t="shared" ref="K43" si="9">K38*K41*J42/K42</f>
        <v>11933.511587736464</v>
      </c>
      <c r="L43" s="120">
        <f t="shared" ref="L43" si="10">L38*L41*K42/L42</f>
        <v>12172.181819491194</v>
      </c>
      <c r="M43" s="120">
        <f t="shared" ref="M43" si="11">M38*M41*L42/M42</f>
        <v>12415.625455881018</v>
      </c>
    </row>
    <row r="44" spans="1:13" hidden="1" outlineLevel="1" x14ac:dyDescent="0.35">
      <c r="A44" s="6" t="s">
        <v>246</v>
      </c>
      <c r="B44" s="27"/>
      <c r="C44" s="28"/>
      <c r="D44" s="27"/>
      <c r="E44" s="27"/>
      <c r="F44" s="27"/>
      <c r="G44" s="27"/>
      <c r="H44" s="29"/>
      <c r="I44" s="120">
        <f>I40*I41</f>
        <v>11488.297177770555</v>
      </c>
      <c r="J44" s="120">
        <f t="shared" ref="J44:M44" si="12">J40*J41</f>
        <v>11424.647707148602</v>
      </c>
      <c r="K44" s="120">
        <f t="shared" si="12"/>
        <v>11436.267732327424</v>
      </c>
      <c r="L44" s="120">
        <f t="shared" si="12"/>
        <v>11582.42851875922</v>
      </c>
      <c r="M44" s="120">
        <f t="shared" si="12"/>
        <v>11732.84342165246</v>
      </c>
    </row>
    <row r="45" spans="1:13" hidden="1" outlineLevel="1" x14ac:dyDescent="0.35">
      <c r="A45" s="7" t="s">
        <v>144</v>
      </c>
      <c r="B45" s="27"/>
      <c r="C45" s="28"/>
      <c r="D45" s="133">
        <v>19666.647000000001</v>
      </c>
      <c r="E45" s="133">
        <v>21287.667000000001</v>
      </c>
      <c r="F45" s="133">
        <v>21990.878000000001</v>
      </c>
      <c r="G45" s="133">
        <v>22654.510999999999</v>
      </c>
      <c r="H45" s="133">
        <v>22807.3</v>
      </c>
      <c r="I45" s="132">
        <f>I43+I44</f>
        <v>22958.415966444591</v>
      </c>
      <c r="J45" s="132">
        <f t="shared" ref="J45" si="13">J43+J44</f>
        <v>23124.168871596117</v>
      </c>
      <c r="K45" s="132">
        <f t="shared" ref="K45" si="14">K43+K44</f>
        <v>23369.779320063888</v>
      </c>
      <c r="L45" s="132">
        <f t="shared" ref="L45" si="15">L43+L44</f>
        <v>23754.610338250415</v>
      </c>
      <c r="M45" s="132">
        <f t="shared" ref="M45" si="16">M43+M44</f>
        <v>24148.46887753348</v>
      </c>
    </row>
    <row r="46" spans="1:13" s="4" customFormat="1" hidden="1" outlineLevel="1" x14ac:dyDescent="0.35">
      <c r="A46" s="27" t="s">
        <v>52</v>
      </c>
      <c r="B46" s="135"/>
      <c r="C46" s="136"/>
      <c r="D46" s="137"/>
      <c r="E46" s="34">
        <f>E45/D45-1</f>
        <v>8.2424828187540156E-2</v>
      </c>
      <c r="F46" s="34">
        <f t="shared" ref="F46" si="17">F45/E45-1</f>
        <v>3.3033727932703982E-2</v>
      </c>
      <c r="G46" s="34">
        <f t="shared" ref="G46" si="18">G45/F45-1</f>
        <v>3.0177649114328187E-2</v>
      </c>
      <c r="H46" s="34">
        <f t="shared" ref="H46" si="19">H45/G45-1</f>
        <v>6.7443080100029196E-3</v>
      </c>
      <c r="I46" s="34">
        <f t="shared" ref="I46" si="20">I45/H45-1</f>
        <v>6.6257718557036771E-3</v>
      </c>
      <c r="J46" s="34">
        <f t="shared" ref="J46" si="21">J45/I45-1</f>
        <v>7.2197012805146343E-3</v>
      </c>
      <c r="K46" s="34">
        <f t="shared" ref="K46" si="22">K45/J45-1</f>
        <v>1.0621374105663994E-2</v>
      </c>
      <c r="L46" s="34">
        <f t="shared" ref="L46" si="23">L45/K45-1</f>
        <v>1.6467036890508213E-2</v>
      </c>
      <c r="M46" s="34">
        <f t="shared" ref="M46" si="24">M45/L45-1</f>
        <v>1.6580298884080635E-2</v>
      </c>
    </row>
    <row r="47" spans="1:13" s="4" customFormat="1" hidden="1" outlineLevel="1" x14ac:dyDescent="0.35">
      <c r="A47" s="27" t="s">
        <v>146</v>
      </c>
      <c r="B47" s="135"/>
      <c r="C47" s="136"/>
      <c r="D47" s="142">
        <v>0.18722912034799422</v>
      </c>
      <c r="E47" s="142">
        <v>0.18281120924216065</v>
      </c>
      <c r="F47" s="142">
        <v>0.17602835410944434</v>
      </c>
      <c r="G47" s="142">
        <v>0.18368540529405705</v>
      </c>
      <c r="H47" s="142">
        <v>0.188502640558986</v>
      </c>
      <c r="I47" s="142">
        <v>0.188502640558986</v>
      </c>
      <c r="J47" s="142">
        <v>0.188502640558986</v>
      </c>
      <c r="K47" s="142">
        <v>0.188502640558986</v>
      </c>
      <c r="L47" s="142">
        <v>0.188502640558986</v>
      </c>
      <c r="M47" s="142">
        <v>0.188502640558986</v>
      </c>
    </row>
    <row r="48" spans="1:13" s="4" customFormat="1" hidden="1" outlineLevel="1" x14ac:dyDescent="0.35">
      <c r="A48" s="27" t="s">
        <v>147</v>
      </c>
      <c r="B48" s="135"/>
      <c r="C48" s="136"/>
      <c r="D48" s="122">
        <v>7747.5410000000002</v>
      </c>
      <c r="E48" s="122">
        <v>8196.8889999999992</v>
      </c>
      <c r="F48" s="122">
        <v>8331.4220000000005</v>
      </c>
      <c r="G48" s="122">
        <v>8917.0079999999998</v>
      </c>
      <c r="H48" s="122">
        <v>9280.3619999999992</v>
      </c>
      <c r="I48" s="120">
        <f>I47*(I38+I40)</f>
        <v>9341.8515613503387</v>
      </c>
      <c r="J48" s="120">
        <f>J47*(J38+J40)</f>
        <v>9409.2969390301987</v>
      </c>
      <c r="K48" s="120">
        <f>K47*(K38+K40)</f>
        <v>9509.2366018909179</v>
      </c>
      <c r="L48" s="120">
        <f>L47*(L38+L40)</f>
        <v>9665.8255518148253</v>
      </c>
      <c r="M48" s="120">
        <f>M47*(M38+M40)</f>
        <v>9826.0878284252994</v>
      </c>
    </row>
    <row r="49" spans="1:13" hidden="1" outlineLevel="1" x14ac:dyDescent="0.35">
      <c r="A49" s="5" t="s">
        <v>51</v>
      </c>
      <c r="B49" s="5"/>
      <c r="C49" s="33"/>
      <c r="D49" s="82">
        <f>D48/D45</f>
        <v>0.39394315665502105</v>
      </c>
      <c r="E49" s="82">
        <f t="shared" ref="E49" si="25">E48/E45</f>
        <v>0.38505342083752053</v>
      </c>
      <c r="F49" s="82">
        <f t="shared" ref="F49" si="26">F48/F45</f>
        <v>0.37885808834008355</v>
      </c>
      <c r="G49" s="82">
        <f t="shared" ref="G49" si="27">G48/G45</f>
        <v>0.39360849589735131</v>
      </c>
      <c r="H49" s="82">
        <f t="shared" ref="H49" si="28">H48/H45</f>
        <v>0.40690314066110411</v>
      </c>
      <c r="I49" s="82">
        <f>I48/I45</f>
        <v>0.406903140661104</v>
      </c>
      <c r="J49" s="82">
        <f>J48/J45</f>
        <v>0.40690314066110406</v>
      </c>
      <c r="K49" s="82">
        <f>K48/K45</f>
        <v>0.40690314066110411</v>
      </c>
      <c r="L49" s="82">
        <f>L48/L45</f>
        <v>0.40690314066110406</v>
      </c>
      <c r="M49" s="82">
        <f>M48/M45</f>
        <v>0.40690314066110406</v>
      </c>
    </row>
    <row r="50" spans="1:13" s="4" customFormat="1" hidden="1" outlineLevel="1" x14ac:dyDescent="0.35">
      <c r="A50" s="27" t="s">
        <v>242</v>
      </c>
      <c r="B50" s="27"/>
      <c r="C50" s="28"/>
      <c r="D50" s="142">
        <v>0.10023453359110682</v>
      </c>
      <c r="E50" s="142">
        <v>0.10928578437932111</v>
      </c>
      <c r="F50" s="142">
        <v>0.105055820832453</v>
      </c>
      <c r="G50" s="142">
        <v>0.1036075599958801</v>
      </c>
      <c r="H50" s="142">
        <v>0.1032181304842379</v>
      </c>
      <c r="I50" s="142">
        <v>0.1032181304842379</v>
      </c>
      <c r="J50" s="142">
        <v>0.1032181304842379</v>
      </c>
      <c r="K50" s="142">
        <v>0.1032181304842379</v>
      </c>
      <c r="L50" s="142">
        <v>0.1032181304842379</v>
      </c>
      <c r="M50" s="142">
        <v>0.1032181304842379</v>
      </c>
    </row>
    <row r="51" spans="1:13" hidden="1" outlineLevel="1" x14ac:dyDescent="0.35">
      <c r="A51" s="5" t="s">
        <v>148</v>
      </c>
      <c r="B51" s="5"/>
      <c r="C51" s="33"/>
      <c r="D51" s="35">
        <v>0.21090046513775326</v>
      </c>
      <c r="E51" s="35">
        <v>0.23018755413639269</v>
      </c>
      <c r="F51" s="35">
        <v>0.22610702492187898</v>
      </c>
      <c r="G51" s="35">
        <v>0.22201445884221468</v>
      </c>
      <c r="H51" s="35">
        <v>0.22280739061616237</v>
      </c>
      <c r="I51" s="82">
        <f>(I50*(I38+I40))/I45</f>
        <v>0.22280739061616237</v>
      </c>
      <c r="J51" s="82">
        <f>(J50*(J38+J40))/J45</f>
        <v>0.22280739061616237</v>
      </c>
      <c r="K51" s="82">
        <f>(K50*(K38+K40))/K45</f>
        <v>0.22280739061616242</v>
      </c>
      <c r="L51" s="82">
        <f>(L50*(L38+L40))/L45</f>
        <v>0.22280739061616237</v>
      </c>
      <c r="M51" s="82">
        <f>(M50*(M38+M40))/M45</f>
        <v>0.22280739061616239</v>
      </c>
    </row>
    <row r="52" spans="1:13" hidden="1" outlineLevel="1" x14ac:dyDescent="0.35">
      <c r="A52" s="5" t="s">
        <v>149</v>
      </c>
      <c r="B52" s="5"/>
      <c r="C52" s="33"/>
      <c r="D52" s="35">
        <v>4.7345132090894804E-2</v>
      </c>
      <c r="E52" s="35">
        <v>4.4517607307555121E-2</v>
      </c>
      <c r="F52" s="35">
        <v>4.4229975719932604E-2</v>
      </c>
      <c r="G52" s="35">
        <v>4.49309190562533E-2</v>
      </c>
      <c r="H52" s="35">
        <v>4.5239155884300199E-2</v>
      </c>
      <c r="I52" s="82">
        <f>(I53*(I38+I40))/I45</f>
        <v>4.5239155884300192E-2</v>
      </c>
      <c r="J52" s="82">
        <f>(J53*(J38+J40))/J45</f>
        <v>4.5239155884300199E-2</v>
      </c>
      <c r="K52" s="82">
        <f>(K53*(K38+K40))/K45</f>
        <v>4.5239155884300206E-2</v>
      </c>
      <c r="L52" s="82">
        <f>(L53*(L38+L40))/L45</f>
        <v>4.5239155884300192E-2</v>
      </c>
      <c r="M52" s="82">
        <f>(M53*(M38+M40))/M45</f>
        <v>4.5239155884300199E-2</v>
      </c>
    </row>
    <row r="53" spans="1:13" hidden="1" outlineLevel="1" x14ac:dyDescent="0.35">
      <c r="A53" s="5" t="s">
        <v>150</v>
      </c>
      <c r="B53" s="5"/>
      <c r="C53" s="33"/>
      <c r="D53" s="143">
        <v>2.2501691638472692E-2</v>
      </c>
      <c r="E53" s="143">
        <v>2.1135554663455108E-2</v>
      </c>
      <c r="F53" s="143">
        <v>2.0550517642087471E-2</v>
      </c>
      <c r="G53" s="143">
        <v>2.0967926665980019E-2</v>
      </c>
      <c r="H53" s="143">
        <v>2.0957568248293791E-2</v>
      </c>
      <c r="I53" s="143">
        <v>2.0957568248293791E-2</v>
      </c>
      <c r="J53" s="143">
        <v>2.0957568248293791E-2</v>
      </c>
      <c r="K53" s="143">
        <v>2.0957568248293791E-2</v>
      </c>
      <c r="L53" s="143">
        <v>2.0957568248293791E-2</v>
      </c>
      <c r="M53" s="143">
        <v>2.0957568248293791E-2</v>
      </c>
    </row>
    <row r="54" spans="1:13" hidden="1" outlineLevel="1" x14ac:dyDescent="0.35">
      <c r="A54" s="5" t="s">
        <v>53</v>
      </c>
      <c r="B54" s="5"/>
      <c r="C54" s="33"/>
      <c r="D54" s="35">
        <v>0.05</v>
      </c>
      <c r="E54" s="35">
        <v>0.05</v>
      </c>
      <c r="F54" s="35">
        <v>0.05</v>
      </c>
      <c r="G54" s="35">
        <v>0.05</v>
      </c>
      <c r="H54" s="35">
        <v>0.05</v>
      </c>
      <c r="I54" s="35">
        <v>0.05</v>
      </c>
      <c r="J54" s="35">
        <v>0.05</v>
      </c>
      <c r="K54" s="35">
        <v>0.05</v>
      </c>
      <c r="L54" s="35">
        <v>0.05</v>
      </c>
      <c r="M54" s="35">
        <v>0.05</v>
      </c>
    </row>
    <row r="55" spans="1:13" hidden="1" outlineLevel="1" x14ac:dyDescent="0.35">
      <c r="A55" s="5" t="s">
        <v>54</v>
      </c>
      <c r="B55" s="36"/>
      <c r="C55" s="37"/>
      <c r="D55" s="35">
        <v>0.2</v>
      </c>
      <c r="E55" s="35">
        <v>0.2</v>
      </c>
      <c r="F55" s="35">
        <v>0.2</v>
      </c>
      <c r="G55" s="35">
        <v>0.2</v>
      </c>
      <c r="H55" s="35">
        <v>0.2</v>
      </c>
      <c r="I55" s="35">
        <v>0.2</v>
      </c>
      <c r="J55" s="35">
        <v>0.2</v>
      </c>
      <c r="K55" s="35">
        <v>0.2</v>
      </c>
      <c r="L55" s="35">
        <v>0.2</v>
      </c>
      <c r="M55" s="35">
        <v>0.2</v>
      </c>
    </row>
    <row r="56" spans="1:13" hidden="1" outlineLevel="1" x14ac:dyDescent="0.35">
      <c r="A56" s="6" t="s">
        <v>55</v>
      </c>
      <c r="C56" s="38"/>
      <c r="D56" s="26">
        <v>29.999874915129155</v>
      </c>
      <c r="E56" s="26">
        <v>30.127733818835104</v>
      </c>
      <c r="F56" s="26">
        <v>29.904240294543946</v>
      </c>
      <c r="G56" s="26">
        <v>30.089080536763735</v>
      </c>
      <c r="H56" s="26">
        <v>29.473758401915173</v>
      </c>
      <c r="I56" s="26">
        <v>29</v>
      </c>
      <c r="J56" s="26">
        <v>29</v>
      </c>
      <c r="K56" s="26">
        <v>29</v>
      </c>
      <c r="L56" s="26">
        <v>29</v>
      </c>
      <c r="M56" s="26">
        <v>29</v>
      </c>
    </row>
    <row r="57" spans="1:13" hidden="1" outlineLevel="1" x14ac:dyDescent="0.35">
      <c r="A57" s="6" t="s">
        <v>56</v>
      </c>
      <c r="C57" s="38"/>
      <c r="D57" s="26">
        <v>46.311812354397347</v>
      </c>
      <c r="E57" s="26">
        <v>47.614954893252794</v>
      </c>
      <c r="F57" s="26">
        <v>48.020150101627316</v>
      </c>
      <c r="G57" s="26">
        <v>46.503794322041657</v>
      </c>
      <c r="H57" s="26">
        <v>44.084026571377279</v>
      </c>
      <c r="I57" s="26">
        <v>44</v>
      </c>
      <c r="J57" s="26">
        <v>44</v>
      </c>
      <c r="K57" s="26">
        <v>44</v>
      </c>
      <c r="L57" s="26">
        <v>44</v>
      </c>
      <c r="M57" s="26">
        <v>44</v>
      </c>
    </row>
    <row r="58" spans="1:13" hidden="1" outlineLevel="1" x14ac:dyDescent="0.35">
      <c r="A58" s="6" t="s">
        <v>57</v>
      </c>
      <c r="C58" s="38"/>
      <c r="D58" s="26">
        <v>29.225615585641947</v>
      </c>
      <c r="E58" s="26">
        <v>29.620794547785142</v>
      </c>
      <c r="F58" s="26">
        <v>32.529355132893279</v>
      </c>
      <c r="G58" s="26">
        <v>31.092363716618848</v>
      </c>
      <c r="H58" s="26">
        <v>27.708122269368371</v>
      </c>
      <c r="I58" s="26">
        <v>30</v>
      </c>
      <c r="J58" s="26">
        <v>30</v>
      </c>
      <c r="K58" s="26">
        <v>30</v>
      </c>
      <c r="L58" s="26">
        <v>30</v>
      </c>
      <c r="M58" s="26">
        <v>30</v>
      </c>
    </row>
    <row r="59" spans="1:13" hidden="1" outlineLevel="1" x14ac:dyDescent="0.35">
      <c r="A59" s="6" t="s">
        <v>58</v>
      </c>
      <c r="D59" s="26">
        <v>0</v>
      </c>
      <c r="E59" s="26">
        <v>0</v>
      </c>
      <c r="F59" s="26">
        <v>0</v>
      </c>
      <c r="G59" s="26">
        <v>0</v>
      </c>
      <c r="H59" s="26">
        <v>0</v>
      </c>
      <c r="I59" s="26">
        <v>0</v>
      </c>
      <c r="J59" s="26">
        <v>0</v>
      </c>
      <c r="K59" s="26">
        <v>0</v>
      </c>
      <c r="L59" s="26">
        <v>0</v>
      </c>
      <c r="M59" s="26">
        <v>0</v>
      </c>
    </row>
    <row r="60" spans="1:13" hidden="1" outlineLevel="1" x14ac:dyDescent="0.35">
      <c r="A60" s="6" t="s">
        <v>60</v>
      </c>
      <c r="D60" s="26">
        <v>0</v>
      </c>
      <c r="E60" s="26">
        <v>0</v>
      </c>
      <c r="F60" s="26">
        <v>0</v>
      </c>
      <c r="G60" s="26">
        <v>0</v>
      </c>
      <c r="H60" s="26">
        <v>0</v>
      </c>
      <c r="I60" s="26">
        <v>0</v>
      </c>
      <c r="J60" s="26">
        <v>0</v>
      </c>
      <c r="K60" s="26">
        <v>0</v>
      </c>
      <c r="L60" s="26">
        <v>-18000</v>
      </c>
      <c r="M60" s="26">
        <v>0</v>
      </c>
    </row>
    <row r="61" spans="1:13" hidden="1" outlineLevel="1" x14ac:dyDescent="0.35">
      <c r="A61" s="6" t="s">
        <v>59</v>
      </c>
      <c r="D61" s="26">
        <v>0</v>
      </c>
      <c r="E61" s="26">
        <v>0</v>
      </c>
      <c r="F61" s="26">
        <v>0</v>
      </c>
      <c r="G61" s="26">
        <v>0</v>
      </c>
      <c r="H61" s="26">
        <v>0</v>
      </c>
      <c r="I61" s="26">
        <v>0</v>
      </c>
      <c r="J61" s="26">
        <v>0</v>
      </c>
      <c r="K61" s="26">
        <v>0</v>
      </c>
      <c r="L61" s="26">
        <v>0</v>
      </c>
      <c r="M61" s="26">
        <v>0</v>
      </c>
    </row>
    <row r="62" spans="1:13" hidden="1" outlineLevel="1" x14ac:dyDescent="0.35">
      <c r="A62" s="6" t="s">
        <v>110</v>
      </c>
      <c r="D62" s="81"/>
      <c r="E62" s="26">
        <v>-5000</v>
      </c>
      <c r="F62" s="26">
        <v>-5000</v>
      </c>
      <c r="G62" s="26">
        <v>-5000.0000000000009</v>
      </c>
      <c r="H62" s="26">
        <v>-5000.0000000000009</v>
      </c>
      <c r="I62" s="26">
        <v>-5000.0000000000009</v>
      </c>
      <c r="J62" s="26">
        <v>0</v>
      </c>
      <c r="K62" s="26">
        <v>0</v>
      </c>
      <c r="L62" s="26">
        <v>0</v>
      </c>
      <c r="M62" s="26">
        <v>-5000.0000000000009</v>
      </c>
    </row>
    <row r="63" spans="1:13" hidden="1" outlineLevel="1" x14ac:dyDescent="0.35">
      <c r="D63" s="25"/>
      <c r="E63" s="25"/>
      <c r="F63" s="25"/>
      <c r="G63" s="25"/>
      <c r="H63" s="25"/>
      <c r="I63" s="26"/>
      <c r="J63" s="26"/>
      <c r="K63" s="26"/>
      <c r="L63" s="26"/>
      <c r="M63" s="26"/>
    </row>
    <row r="64" spans="1:13" hidden="1" outlineLevel="1" x14ac:dyDescent="0.35">
      <c r="A64" s="7" t="s">
        <v>94</v>
      </c>
      <c r="B64" s="138" t="s">
        <v>105</v>
      </c>
      <c r="C64" s="28"/>
      <c r="D64" s="27"/>
      <c r="E64" s="27"/>
      <c r="F64" s="27"/>
      <c r="G64" s="27"/>
      <c r="H64" s="29"/>
      <c r="I64" s="30"/>
      <c r="J64" s="30"/>
      <c r="K64" s="30"/>
      <c r="L64" s="30"/>
      <c r="M64" s="30"/>
    </row>
    <row r="65" spans="1:13" hidden="1" outlineLevel="1" x14ac:dyDescent="0.35">
      <c r="A65" s="3" t="s">
        <v>241</v>
      </c>
      <c r="B65" s="127"/>
      <c r="C65" s="128"/>
      <c r="D65" s="127"/>
      <c r="E65" s="127"/>
      <c r="F65" s="127"/>
      <c r="G65" s="127"/>
      <c r="H65" s="129"/>
      <c r="I65" s="130">
        <f>'Revenue Assumptions'!I82</f>
        <v>0.05</v>
      </c>
      <c r="J65" s="130">
        <f>'Revenue Assumptions'!J82</f>
        <v>0.05</v>
      </c>
      <c r="K65" s="130">
        <f>'Revenue Assumptions'!K82</f>
        <v>0.05</v>
      </c>
      <c r="L65" s="130">
        <f>'Revenue Assumptions'!L82</f>
        <v>0.05</v>
      </c>
      <c r="M65" s="130">
        <f>'Revenue Assumptions'!M82</f>
        <v>0.05</v>
      </c>
    </row>
    <row r="66" spans="1:13" hidden="1" outlineLevel="1" x14ac:dyDescent="0.35">
      <c r="A66" s="6" t="s">
        <v>136</v>
      </c>
      <c r="B66" s="27"/>
      <c r="C66" s="28"/>
      <c r="D66" s="27"/>
      <c r="E66" s="27"/>
      <c r="F66" s="27"/>
      <c r="G66" s="27"/>
      <c r="H66" s="29"/>
      <c r="I66" s="134">
        <f>'Revenue Assumptions'!I81</f>
        <v>25487.7</v>
      </c>
      <c r="J66" s="134">
        <f>'Revenue Assumptions'!J81</f>
        <v>26762.085000000003</v>
      </c>
      <c r="K66" s="134">
        <f>'Revenue Assumptions'!K81</f>
        <v>28100.189250000003</v>
      </c>
      <c r="L66" s="134">
        <f>'Revenue Assumptions'!L81</f>
        <v>29505.198712500005</v>
      </c>
      <c r="M66" s="134">
        <f>'Revenue Assumptions'!M81</f>
        <v>30980.458648125008</v>
      </c>
    </row>
    <row r="67" spans="1:13" hidden="1" outlineLevel="1" x14ac:dyDescent="0.35">
      <c r="A67" s="6" t="s">
        <v>145</v>
      </c>
      <c r="B67" s="27"/>
      <c r="C67" s="28"/>
      <c r="D67" s="27"/>
      <c r="E67" s="27"/>
      <c r="F67" s="27"/>
      <c r="G67" s="27"/>
      <c r="H67" s="29"/>
      <c r="I67" s="126">
        <f>'Revenue Assumptions'!I94</f>
        <v>3.3198172930523517E-2</v>
      </c>
      <c r="J67" s="126">
        <f>'Revenue Assumptions'!J94</f>
        <v>3.6563620738865543E-2</v>
      </c>
      <c r="K67" s="126">
        <f>'Revenue Assumptions'!K94</f>
        <v>4.2703589267402364E-2</v>
      </c>
      <c r="L67" s="126">
        <f>'Revenue Assumptions'!L94</f>
        <v>4.2914316937287422E-2</v>
      </c>
      <c r="M67" s="126">
        <f>'Revenue Assumptions'!M94</f>
        <v>4.3125887459025236E-2</v>
      </c>
    </row>
    <row r="68" spans="1:13" hidden="1" outlineLevel="1" x14ac:dyDescent="0.35">
      <c r="A68" s="6" t="s">
        <v>141</v>
      </c>
      <c r="B68" s="27"/>
      <c r="C68" s="28"/>
      <c r="D68" s="27"/>
      <c r="E68" s="27"/>
      <c r="F68" s="27"/>
      <c r="G68" s="27"/>
      <c r="H68" s="29"/>
      <c r="I68" s="121">
        <f>'Revenue Assumptions'!I93</f>
        <v>25786.560000000005</v>
      </c>
      <c r="J68" s="121">
        <f>'Revenue Assumptions'!J93</f>
        <v>26729.410000000003</v>
      </c>
      <c r="K68" s="121">
        <f>'Revenue Assumptions'!K93</f>
        <v>27870.851746000004</v>
      </c>
      <c r="L68" s="121">
        <f>'Revenue Assumptions'!L93</f>
        <v>29066.91031114</v>
      </c>
      <c r="M68" s="121">
        <f>'Revenue Assumptions'!M93</f>
        <v>30320.446613999804</v>
      </c>
    </row>
    <row r="69" spans="1:13" hidden="1" outlineLevel="1" x14ac:dyDescent="0.35">
      <c r="A69" s="123" t="s">
        <v>137</v>
      </c>
      <c r="B69" s="124"/>
      <c r="C69" s="125"/>
      <c r="D69" s="141">
        <v>0.47526938134364427</v>
      </c>
      <c r="E69" s="141">
        <v>0.47476843302555871</v>
      </c>
      <c r="F69" s="141">
        <v>0.46462873441791674</v>
      </c>
      <c r="G69" s="141">
        <v>0.46667032650118445</v>
      </c>
      <c r="H69" s="140">
        <v>0.4632616997075073</v>
      </c>
      <c r="I69" s="142">
        <v>0.4632616997075073</v>
      </c>
      <c r="J69" s="142">
        <v>0.4632616997075073</v>
      </c>
      <c r="K69" s="142">
        <v>0.4632616997075073</v>
      </c>
      <c r="L69" s="142">
        <v>0.4632616997075073</v>
      </c>
      <c r="M69" s="142">
        <v>0.4632616997075073</v>
      </c>
    </row>
    <row r="70" spans="1:13" hidden="1" outlineLevel="1" x14ac:dyDescent="0.35">
      <c r="A70" s="123" t="s">
        <v>142</v>
      </c>
      <c r="B70" s="124"/>
      <c r="C70" s="125"/>
      <c r="D70" s="27"/>
      <c r="E70" s="27"/>
      <c r="F70" s="27"/>
      <c r="G70" s="27"/>
      <c r="H70" s="131">
        <v>1.1399999999999999</v>
      </c>
      <c r="I70" s="131">
        <v>1.1399999999999999</v>
      </c>
      <c r="J70" s="131">
        <v>1.1399999999999999</v>
      </c>
      <c r="K70" s="131">
        <v>1.1399999999999999</v>
      </c>
      <c r="L70" s="131">
        <v>1.1399999999999999</v>
      </c>
      <c r="M70" s="131">
        <v>1.1399999999999999</v>
      </c>
    </row>
    <row r="71" spans="1:13" hidden="1" outlineLevel="1" x14ac:dyDescent="0.35">
      <c r="A71" s="6" t="s">
        <v>143</v>
      </c>
      <c r="B71" s="27"/>
      <c r="C71" s="28"/>
      <c r="D71" s="27"/>
      <c r="E71" s="27"/>
      <c r="F71" s="27"/>
      <c r="G71" s="27"/>
      <c r="H71" s="29"/>
      <c r="I71" s="120">
        <f>I66*I69*H70/I70</f>
        <v>11807.475223635034</v>
      </c>
      <c r="J71" s="120">
        <f t="shared" ref="J71" si="29">J66*J69*I70/J70</f>
        <v>12397.848984816786</v>
      </c>
      <c r="K71" s="120">
        <f t="shared" ref="K71" si="30">K66*K69*J70/K70</f>
        <v>13017.741434057627</v>
      </c>
      <c r="L71" s="120">
        <f t="shared" ref="L71" si="31">L66*L69*K70/L70</f>
        <v>13668.628505760509</v>
      </c>
      <c r="M71" s="120">
        <f t="shared" ref="M71" si="32">M66*M69*L70/M70</f>
        <v>14352.059931048536</v>
      </c>
    </row>
    <row r="72" spans="1:13" hidden="1" outlineLevel="1" x14ac:dyDescent="0.35">
      <c r="A72" s="6" t="s">
        <v>246</v>
      </c>
      <c r="B72" s="27"/>
      <c r="C72" s="28"/>
      <c r="D72" s="27"/>
      <c r="E72" s="27"/>
      <c r="F72" s="27"/>
      <c r="G72" s="27"/>
      <c r="H72" s="29"/>
      <c r="I72" s="120">
        <f>I68*I69</f>
        <v>11945.925615209622</v>
      </c>
      <c r="J72" s="120">
        <f t="shared" ref="J72:M72" si="33">J68*J69</f>
        <v>12382.711908778845</v>
      </c>
      <c r="K72" s="120">
        <f t="shared" si="33"/>
        <v>12911.498152147909</v>
      </c>
      <c r="L72" s="120">
        <f t="shared" si="33"/>
        <v>13465.586275984386</v>
      </c>
      <c r="M72" s="120">
        <f t="shared" si="33"/>
        <v>14046.301634292284</v>
      </c>
    </row>
    <row r="73" spans="1:13" hidden="1" outlineLevel="1" x14ac:dyDescent="0.35">
      <c r="A73" s="7" t="s">
        <v>144</v>
      </c>
      <c r="B73" s="27"/>
      <c r="C73" s="28"/>
      <c r="D73" s="133">
        <v>19666.647000000001</v>
      </c>
      <c r="E73" s="133">
        <v>21287.667000000001</v>
      </c>
      <c r="F73" s="133">
        <v>21990.878000000001</v>
      </c>
      <c r="G73" s="133">
        <v>22654.510999999999</v>
      </c>
      <c r="H73" s="133">
        <v>22807.3</v>
      </c>
      <c r="I73" s="132">
        <f>I71+I72</f>
        <v>23753.400838844656</v>
      </c>
      <c r="J73" s="132">
        <f t="shared" ref="J73" si="34">J71+J72</f>
        <v>24780.560893595633</v>
      </c>
      <c r="K73" s="132">
        <f t="shared" ref="K73" si="35">K71+K72</f>
        <v>25929.239586205535</v>
      </c>
      <c r="L73" s="132">
        <f t="shared" ref="L73" si="36">L71+L72</f>
        <v>27134.214781744893</v>
      </c>
      <c r="M73" s="132">
        <f t="shared" ref="M73" si="37">M71+M72</f>
        <v>28398.36156534082</v>
      </c>
    </row>
    <row r="74" spans="1:13" s="4" customFormat="1" hidden="1" outlineLevel="1" x14ac:dyDescent="0.35">
      <c r="A74" s="27" t="s">
        <v>52</v>
      </c>
      <c r="B74" s="135"/>
      <c r="C74" s="136"/>
      <c r="D74" s="137"/>
      <c r="E74" s="34">
        <f>E73/D73-1</f>
        <v>8.2424828187540156E-2</v>
      </c>
      <c r="F74" s="34">
        <f t="shared" ref="F74" si="38">F73/E73-1</f>
        <v>3.3033727932703982E-2</v>
      </c>
      <c r="G74" s="34">
        <f t="shared" ref="G74" si="39">G73/F73-1</f>
        <v>3.0177649114328187E-2</v>
      </c>
      <c r="H74" s="34">
        <f t="shared" ref="H74" si="40">H73/G73-1</f>
        <v>6.7443080100029196E-3</v>
      </c>
      <c r="I74" s="34">
        <f t="shared" ref="I74" si="41">I73/H73-1</f>
        <v>4.1482369190770418E-2</v>
      </c>
      <c r="J74" s="34">
        <f t="shared" ref="J74" si="42">J73/I73-1</f>
        <v>4.3242652356172639E-2</v>
      </c>
      <c r="K74" s="34">
        <f t="shared" ref="K74" si="43">K73/J73-1</f>
        <v>4.6354023120871668E-2</v>
      </c>
      <c r="L74" s="34">
        <f t="shared" ref="L74" si="44">L73/K73-1</f>
        <v>4.6471675018977754E-2</v>
      </c>
      <c r="M74" s="34">
        <f t="shared" ref="M74" si="45">M73/L73-1</f>
        <v>4.6588662828983329E-2</v>
      </c>
    </row>
    <row r="75" spans="1:13" s="4" customFormat="1" hidden="1" outlineLevel="1" x14ac:dyDescent="0.35">
      <c r="A75" s="27" t="s">
        <v>146</v>
      </c>
      <c r="B75" s="135"/>
      <c r="C75" s="136"/>
      <c r="D75" s="142">
        <v>0.18722912034799422</v>
      </c>
      <c r="E75" s="142">
        <v>0.18281120924216065</v>
      </c>
      <c r="F75" s="142">
        <v>0.17602835410944434</v>
      </c>
      <c r="G75" s="142">
        <v>0.18368540529405705</v>
      </c>
      <c r="H75" s="142">
        <v>0.188502640558986</v>
      </c>
      <c r="I75" s="142">
        <v>0.188502640558986</v>
      </c>
      <c r="J75" s="142">
        <v>0.188502640558986</v>
      </c>
      <c r="K75" s="142">
        <v>0.188502640558986</v>
      </c>
      <c r="L75" s="142">
        <v>0.188502640558986</v>
      </c>
      <c r="M75" s="142">
        <v>0.188502640558986</v>
      </c>
    </row>
    <row r="76" spans="1:13" s="4" customFormat="1" hidden="1" outlineLevel="1" x14ac:dyDescent="0.35">
      <c r="A76" s="27" t="s">
        <v>147</v>
      </c>
      <c r="B76" s="135"/>
      <c r="C76" s="136"/>
      <c r="D76" s="122">
        <v>7747.5410000000002</v>
      </c>
      <c r="E76" s="122">
        <v>8196.8889999999992</v>
      </c>
      <c r="F76" s="122">
        <v>8331.4220000000005</v>
      </c>
      <c r="G76" s="122">
        <v>8917.0079999999998</v>
      </c>
      <c r="H76" s="122">
        <v>9280.3619999999992</v>
      </c>
      <c r="I76" s="120">
        <f>I75*(I66+I68)</f>
        <v>9665.3334027079945</v>
      </c>
      <c r="J76" s="120">
        <f>J75*(J66+J68)</f>
        <v>10083.288054947798</v>
      </c>
      <c r="K76" s="120">
        <f>K75*(K66+K68)</f>
        <v>10550.68902258126</v>
      </c>
      <c r="L76" s="120">
        <f>L75*(L66+L68)</f>
        <v>11040.997214064952</v>
      </c>
      <c r="M76" s="120">
        <f>M75*(M66+M68)</f>
        <v>11555.382510566767</v>
      </c>
    </row>
    <row r="77" spans="1:13" hidden="1" outlineLevel="1" x14ac:dyDescent="0.35">
      <c r="A77" s="5" t="s">
        <v>51</v>
      </c>
      <c r="B77" s="5"/>
      <c r="C77" s="33"/>
      <c r="D77" s="82">
        <f>D76/D73</f>
        <v>0.39394315665502105</v>
      </c>
      <c r="E77" s="82">
        <f t="shared" ref="E77" si="46">E76/E73</f>
        <v>0.38505342083752053</v>
      </c>
      <c r="F77" s="82">
        <f t="shared" ref="F77" si="47">F76/F73</f>
        <v>0.37885808834008355</v>
      </c>
      <c r="G77" s="82">
        <f t="shared" ref="G77" si="48">G76/G73</f>
        <v>0.39360849589735131</v>
      </c>
      <c r="H77" s="82">
        <f t="shared" ref="H77" si="49">H76/H73</f>
        <v>0.40690314066110411</v>
      </c>
      <c r="I77" s="82">
        <f>I76/I73</f>
        <v>0.40690314066110406</v>
      </c>
      <c r="J77" s="82">
        <f>J76/J73</f>
        <v>0.406903140661104</v>
      </c>
      <c r="K77" s="82">
        <f>K76/K73</f>
        <v>0.40690314066110417</v>
      </c>
      <c r="L77" s="82">
        <f>L76/L73</f>
        <v>0.40690314066110406</v>
      </c>
      <c r="M77" s="82">
        <f>M76/M73</f>
        <v>0.40690314066110406</v>
      </c>
    </row>
    <row r="78" spans="1:13" s="4" customFormat="1" hidden="1" outlineLevel="1" x14ac:dyDescent="0.35">
      <c r="A78" s="27" t="s">
        <v>242</v>
      </c>
      <c r="B78" s="27"/>
      <c r="C78" s="28"/>
      <c r="D78" s="142">
        <v>0.10023453359110682</v>
      </c>
      <c r="E78" s="142">
        <v>0.10928578437932111</v>
      </c>
      <c r="F78" s="142">
        <v>0.105055820832453</v>
      </c>
      <c r="G78" s="142">
        <v>0.1036075599958801</v>
      </c>
      <c r="H78" s="142">
        <v>0.1032181304842379</v>
      </c>
      <c r="I78" s="142">
        <v>0.1032181304842379</v>
      </c>
      <c r="J78" s="142">
        <v>0.1032181304842379</v>
      </c>
      <c r="K78" s="142">
        <v>0.1032181304842379</v>
      </c>
      <c r="L78" s="142">
        <v>0.1032181304842379</v>
      </c>
      <c r="M78" s="142">
        <v>0.1032181304842379</v>
      </c>
    </row>
    <row r="79" spans="1:13" hidden="1" outlineLevel="1" x14ac:dyDescent="0.35">
      <c r="A79" s="5" t="s">
        <v>148</v>
      </c>
      <c r="B79" s="5"/>
      <c r="C79" s="33"/>
      <c r="D79" s="35">
        <v>0.21090046513775326</v>
      </c>
      <c r="E79" s="35">
        <v>0.23018755413639269</v>
      </c>
      <c r="F79" s="35">
        <v>0.22610702492187898</v>
      </c>
      <c r="G79" s="35">
        <v>0.22201445884221468</v>
      </c>
      <c r="H79" s="35">
        <v>0.22280739061616237</v>
      </c>
      <c r="I79" s="82">
        <f>(I78*(I66+I68))/I73</f>
        <v>0.22280739061616239</v>
      </c>
      <c r="J79" s="82">
        <f>(J78*(J66+J68))/J73</f>
        <v>0.22280739061616239</v>
      </c>
      <c r="K79" s="82">
        <f>(K78*(K66+K68))/K73</f>
        <v>0.22280739061616242</v>
      </c>
      <c r="L79" s="82">
        <f>(L78*(L66+L68))/L73</f>
        <v>0.22280739061616242</v>
      </c>
      <c r="M79" s="82">
        <f>(M78*(M66+M68))/M73</f>
        <v>0.22280739061616239</v>
      </c>
    </row>
    <row r="80" spans="1:13" hidden="1" outlineLevel="1" x14ac:dyDescent="0.35">
      <c r="A80" s="5" t="s">
        <v>149</v>
      </c>
      <c r="B80" s="5"/>
      <c r="C80" s="33"/>
      <c r="D80" s="35">
        <v>4.7345132090894804E-2</v>
      </c>
      <c r="E80" s="35">
        <v>4.4517607307555121E-2</v>
      </c>
      <c r="F80" s="35">
        <v>4.4229975719932604E-2</v>
      </c>
      <c r="G80" s="35">
        <v>4.49309190562533E-2</v>
      </c>
      <c r="H80" s="35">
        <v>4.5239155884300199E-2</v>
      </c>
      <c r="I80" s="82">
        <f>(I81*(I66+I68))/I73</f>
        <v>4.5239155884300206E-2</v>
      </c>
      <c r="J80" s="82">
        <f>(J81*(J66+J68))/J73</f>
        <v>4.5239155884300199E-2</v>
      </c>
      <c r="K80" s="82">
        <f>(K81*(K66+K68))/K73</f>
        <v>4.5239155884300199E-2</v>
      </c>
      <c r="L80" s="82">
        <f>(L81*(L66+L68))/L73</f>
        <v>4.5239155884300199E-2</v>
      </c>
      <c r="M80" s="82">
        <f>(M81*(M66+M68))/M73</f>
        <v>4.5239155884300199E-2</v>
      </c>
    </row>
    <row r="81" spans="1:13" hidden="1" outlineLevel="1" x14ac:dyDescent="0.35">
      <c r="A81" s="5" t="s">
        <v>150</v>
      </c>
      <c r="B81" s="5"/>
      <c r="C81" s="33"/>
      <c r="D81" s="143">
        <v>2.2501691638472692E-2</v>
      </c>
      <c r="E81" s="143">
        <v>2.1135554663455108E-2</v>
      </c>
      <c r="F81" s="143">
        <v>2.0550517642087471E-2</v>
      </c>
      <c r="G81" s="143">
        <v>2.0967926665980019E-2</v>
      </c>
      <c r="H81" s="143">
        <v>2.0957568248293791E-2</v>
      </c>
      <c r="I81" s="143">
        <v>2.0957568248293791E-2</v>
      </c>
      <c r="J81" s="143">
        <v>2.0957568248293791E-2</v>
      </c>
      <c r="K81" s="143">
        <v>2.0957568248293791E-2</v>
      </c>
      <c r="L81" s="143">
        <v>2.0957568248293791E-2</v>
      </c>
      <c r="M81" s="143">
        <v>2.0957568248293791E-2</v>
      </c>
    </row>
    <row r="82" spans="1:13" hidden="1" outlineLevel="1" x14ac:dyDescent="0.35">
      <c r="A82" s="5" t="s">
        <v>53</v>
      </c>
      <c r="B82" s="5"/>
      <c r="C82" s="33"/>
      <c r="D82" s="35">
        <v>0.05</v>
      </c>
      <c r="E82" s="35">
        <v>0.05</v>
      </c>
      <c r="F82" s="35">
        <v>0.05</v>
      </c>
      <c r="G82" s="35">
        <v>0.05</v>
      </c>
      <c r="H82" s="35">
        <v>0.05</v>
      </c>
      <c r="I82" s="35">
        <v>0.05</v>
      </c>
      <c r="J82" s="35">
        <v>0.05</v>
      </c>
      <c r="K82" s="35">
        <v>0.05</v>
      </c>
      <c r="L82" s="35">
        <v>0.05</v>
      </c>
      <c r="M82" s="35">
        <v>0.05</v>
      </c>
    </row>
    <row r="83" spans="1:13" hidden="1" outlineLevel="1" x14ac:dyDescent="0.35">
      <c r="A83" s="5" t="s">
        <v>54</v>
      </c>
      <c r="B83" s="36"/>
      <c r="C83" s="37"/>
      <c r="D83" s="35">
        <v>0.2</v>
      </c>
      <c r="E83" s="35">
        <v>0.2</v>
      </c>
      <c r="F83" s="35">
        <v>0.2</v>
      </c>
      <c r="G83" s="35">
        <v>0.2</v>
      </c>
      <c r="H83" s="35">
        <v>0.2</v>
      </c>
      <c r="I83" s="35">
        <v>0.2</v>
      </c>
      <c r="J83" s="35">
        <v>0.2</v>
      </c>
      <c r="K83" s="35">
        <v>0.2</v>
      </c>
      <c r="L83" s="35">
        <v>0.2</v>
      </c>
      <c r="M83" s="35">
        <v>0.2</v>
      </c>
    </row>
    <row r="84" spans="1:13" hidden="1" outlineLevel="1" x14ac:dyDescent="0.35">
      <c r="A84" s="6" t="s">
        <v>55</v>
      </c>
      <c r="C84" s="38"/>
      <c r="D84" s="26">
        <v>29.999874915129155</v>
      </c>
      <c r="E84" s="26">
        <v>30.127733818835104</v>
      </c>
      <c r="F84" s="26">
        <v>29.904240294543946</v>
      </c>
      <c r="G84" s="26">
        <v>30.089080536763735</v>
      </c>
      <c r="H84" s="26">
        <v>29.473758401915173</v>
      </c>
      <c r="I84" s="26">
        <v>29</v>
      </c>
      <c r="J84" s="26">
        <v>29</v>
      </c>
      <c r="K84" s="26">
        <v>29</v>
      </c>
      <c r="L84" s="26">
        <v>29</v>
      </c>
      <c r="M84" s="26">
        <v>29</v>
      </c>
    </row>
    <row r="85" spans="1:13" hidden="1" outlineLevel="1" x14ac:dyDescent="0.35">
      <c r="A85" s="6" t="s">
        <v>56</v>
      </c>
      <c r="C85" s="38"/>
      <c r="D85" s="26">
        <v>46.311812354397347</v>
      </c>
      <c r="E85" s="26">
        <v>47.614954893252794</v>
      </c>
      <c r="F85" s="26">
        <v>48.020150101627316</v>
      </c>
      <c r="G85" s="26">
        <v>46.503794322041657</v>
      </c>
      <c r="H85" s="26">
        <v>44.084026571377279</v>
      </c>
      <c r="I85" s="26">
        <v>44</v>
      </c>
      <c r="J85" s="26">
        <v>44</v>
      </c>
      <c r="K85" s="26">
        <v>44</v>
      </c>
      <c r="L85" s="26">
        <v>44</v>
      </c>
      <c r="M85" s="26">
        <v>44</v>
      </c>
    </row>
    <row r="86" spans="1:13" hidden="1" outlineLevel="1" x14ac:dyDescent="0.35">
      <c r="A86" s="6" t="s">
        <v>57</v>
      </c>
      <c r="C86" s="38"/>
      <c r="D86" s="26">
        <v>29.225615585641947</v>
      </c>
      <c r="E86" s="26">
        <v>29.620794547785142</v>
      </c>
      <c r="F86" s="26">
        <v>32.529355132893279</v>
      </c>
      <c r="G86" s="26">
        <v>31.092363716618848</v>
      </c>
      <c r="H86" s="26">
        <v>27.708122269368371</v>
      </c>
      <c r="I86" s="26">
        <v>30</v>
      </c>
      <c r="J86" s="26">
        <v>30</v>
      </c>
      <c r="K86" s="26">
        <v>30</v>
      </c>
      <c r="L86" s="26">
        <v>30</v>
      </c>
      <c r="M86" s="26">
        <v>30</v>
      </c>
    </row>
    <row r="87" spans="1:13" hidden="1" outlineLevel="1" x14ac:dyDescent="0.35">
      <c r="A87" s="6" t="s">
        <v>58</v>
      </c>
      <c r="D87" s="26">
        <v>0</v>
      </c>
      <c r="E87" s="26">
        <v>0</v>
      </c>
      <c r="F87" s="26">
        <v>0</v>
      </c>
      <c r="G87" s="26">
        <v>0</v>
      </c>
      <c r="H87" s="26">
        <v>0</v>
      </c>
      <c r="I87" s="26">
        <v>0</v>
      </c>
      <c r="J87" s="26">
        <v>0</v>
      </c>
      <c r="K87" s="26">
        <v>0</v>
      </c>
      <c r="L87" s="26">
        <v>0</v>
      </c>
      <c r="M87" s="26">
        <v>0</v>
      </c>
    </row>
    <row r="88" spans="1:13" hidden="1" outlineLevel="1" x14ac:dyDescent="0.35">
      <c r="A88" s="6" t="s">
        <v>60</v>
      </c>
      <c r="D88" s="26">
        <v>0</v>
      </c>
      <c r="E88" s="26">
        <v>0</v>
      </c>
      <c r="F88" s="26">
        <v>0</v>
      </c>
      <c r="G88" s="26">
        <v>0</v>
      </c>
      <c r="H88" s="26">
        <v>0</v>
      </c>
      <c r="I88" s="26">
        <v>0</v>
      </c>
      <c r="J88" s="26">
        <v>0</v>
      </c>
      <c r="K88" s="26">
        <v>0</v>
      </c>
      <c r="L88" s="26">
        <v>-18000</v>
      </c>
      <c r="M88" s="26">
        <v>0</v>
      </c>
    </row>
    <row r="89" spans="1:13" hidden="1" outlineLevel="1" x14ac:dyDescent="0.35">
      <c r="A89" s="6" t="s">
        <v>59</v>
      </c>
      <c r="D89" s="26">
        <v>0</v>
      </c>
      <c r="E89" s="26">
        <v>0</v>
      </c>
      <c r="F89" s="26">
        <v>0</v>
      </c>
      <c r="G89" s="26">
        <v>0</v>
      </c>
      <c r="H89" s="26">
        <v>0</v>
      </c>
      <c r="I89" s="26">
        <v>0</v>
      </c>
      <c r="J89" s="26">
        <v>0</v>
      </c>
      <c r="K89" s="26">
        <v>0</v>
      </c>
      <c r="L89" s="26">
        <v>0</v>
      </c>
      <c r="M89" s="26">
        <v>0</v>
      </c>
    </row>
    <row r="90" spans="1:13" hidden="1" outlineLevel="1" x14ac:dyDescent="0.35">
      <c r="A90" s="6" t="s">
        <v>110</v>
      </c>
      <c r="D90" s="81"/>
      <c r="E90" s="26">
        <v>-5000</v>
      </c>
      <c r="F90" s="26">
        <v>-5000</v>
      </c>
      <c r="G90" s="26">
        <v>-5000.0000000000009</v>
      </c>
      <c r="H90" s="26">
        <v>-5000.0000000000009</v>
      </c>
      <c r="I90" s="26">
        <v>-5000.0000000000009</v>
      </c>
      <c r="J90" s="26">
        <v>0</v>
      </c>
      <c r="K90" s="26">
        <v>0</v>
      </c>
      <c r="L90" s="26">
        <v>0</v>
      </c>
      <c r="M90" s="26">
        <v>-5000.0000000000009</v>
      </c>
    </row>
    <row r="91" spans="1:13" hidden="1" outlineLevel="1" x14ac:dyDescent="0.35">
      <c r="D91" s="25"/>
      <c r="E91" s="25"/>
      <c r="F91" s="25"/>
      <c r="G91" s="25"/>
      <c r="H91" s="25"/>
      <c r="I91" s="26"/>
      <c r="J91" s="26"/>
      <c r="K91" s="26"/>
      <c r="L91" s="26"/>
      <c r="M91" s="26"/>
    </row>
    <row r="92" spans="1:13" hidden="1" outlineLevel="1" x14ac:dyDescent="0.35">
      <c r="A92" s="7" t="s">
        <v>99</v>
      </c>
      <c r="B92" s="138" t="s">
        <v>105</v>
      </c>
      <c r="C92" s="28"/>
      <c r="D92" s="27"/>
      <c r="E92" s="27"/>
      <c r="F92" s="27"/>
      <c r="G92" s="27"/>
      <c r="H92" s="29"/>
      <c r="I92" s="30"/>
      <c r="J92" s="30"/>
      <c r="K92" s="30"/>
      <c r="L92" s="30"/>
      <c r="M92" s="30"/>
    </row>
    <row r="93" spans="1:13" hidden="1" outlineLevel="1" x14ac:dyDescent="0.35">
      <c r="A93" s="3" t="s">
        <v>241</v>
      </c>
      <c r="B93" s="127"/>
      <c r="C93" s="128"/>
      <c r="D93" s="63"/>
      <c r="E93" s="63"/>
      <c r="F93" s="63"/>
      <c r="G93" s="63"/>
      <c r="H93" s="150"/>
      <c r="I93" s="146">
        <f t="shared" ref="I93:M93" si="50">CHOOSE($I$4,I9,I37,I65)</f>
        <v>0.04</v>
      </c>
      <c r="J93" s="146">
        <f t="shared" si="50"/>
        <v>0.04</v>
      </c>
      <c r="K93" s="146">
        <f t="shared" si="50"/>
        <v>0.04</v>
      </c>
      <c r="L93" s="146">
        <f t="shared" si="50"/>
        <v>0.04</v>
      </c>
      <c r="M93" s="146">
        <f t="shared" si="50"/>
        <v>0.04</v>
      </c>
    </row>
    <row r="94" spans="1:13" hidden="1" outlineLevel="1" x14ac:dyDescent="0.35">
      <c r="A94" s="6" t="s">
        <v>136</v>
      </c>
      <c r="B94" s="27"/>
      <c r="C94" s="28"/>
      <c r="D94" s="89"/>
      <c r="E94" s="89"/>
      <c r="F94" s="89"/>
      <c r="G94" s="89"/>
      <c r="H94" s="151"/>
      <c r="I94" s="147">
        <f t="shared" ref="I94:M94" si="51">CHOOSE($I$4,I10,I38,I66)</f>
        <v>25244.959999999999</v>
      </c>
      <c r="J94" s="147">
        <f t="shared" si="51"/>
        <v>26254.758399999999</v>
      </c>
      <c r="K94" s="147">
        <f t="shared" si="51"/>
        <v>27304.948735999998</v>
      </c>
      <c r="L94" s="147">
        <f t="shared" si="51"/>
        <v>28397.146685439999</v>
      </c>
      <c r="M94" s="147">
        <f t="shared" si="51"/>
        <v>29533.0325528576</v>
      </c>
    </row>
    <row r="95" spans="1:13" hidden="1" outlineLevel="1" x14ac:dyDescent="0.35">
      <c r="A95" s="6" t="s">
        <v>145</v>
      </c>
      <c r="B95" s="27"/>
      <c r="C95" s="28"/>
      <c r="D95" s="89"/>
      <c r="E95" s="89"/>
      <c r="F95" s="89"/>
      <c r="G95" s="89"/>
      <c r="H95" s="151"/>
      <c r="I95" s="82">
        <f t="shared" ref="I95:M95" si="52">CHOOSE($I$4,I11,I39,I67)</f>
        <v>1.6025322541870501E-2</v>
      </c>
      <c r="J95" s="82">
        <f t="shared" si="52"/>
        <v>1.640346463201281E-2</v>
      </c>
      <c r="K95" s="82">
        <f t="shared" si="52"/>
        <v>2.2588212120668638E-2</v>
      </c>
      <c r="L95" s="82">
        <f t="shared" si="52"/>
        <v>2.2802553804473602E-2</v>
      </c>
      <c r="M95" s="82">
        <f t="shared" si="52"/>
        <v>2.3017816495594756E-2</v>
      </c>
    </row>
    <row r="96" spans="1:13" hidden="1" outlineLevel="1" x14ac:dyDescent="0.35">
      <c r="A96" s="6" t="s">
        <v>141</v>
      </c>
      <c r="B96" s="27"/>
      <c r="C96" s="28"/>
      <c r="D96" s="89"/>
      <c r="E96" s="89"/>
      <c r="F96" s="89"/>
      <c r="G96" s="89"/>
      <c r="H96" s="151"/>
      <c r="I96" s="120">
        <f t="shared" ref="I96:M96" si="53">CHOOSE($I$4,I12,I40,I68)</f>
        <v>25357.960000000003</v>
      </c>
      <c r="J96" s="120">
        <f t="shared" si="53"/>
        <v>25773.918399999999</v>
      </c>
      <c r="K96" s="120">
        <f t="shared" si="53"/>
        <v>26356.105136000002</v>
      </c>
      <c r="L96" s="120">
        <f t="shared" si="53"/>
        <v>26957.091641440005</v>
      </c>
      <c r="M96" s="120">
        <f t="shared" si="53"/>
        <v>27577.585030097605</v>
      </c>
    </row>
    <row r="97" spans="1:13" hidden="1" outlineLevel="1" x14ac:dyDescent="0.35">
      <c r="A97" s="123" t="s">
        <v>137</v>
      </c>
      <c r="B97" s="124"/>
      <c r="C97" s="125"/>
      <c r="D97" s="139">
        <f>CHOOSE($I$4,D13,D41,D69)</f>
        <v>0.47526938134364427</v>
      </c>
      <c r="E97" s="139">
        <f t="shared" ref="E97:M97" si="54">CHOOSE($I$4,E13,E41,E69)</f>
        <v>0.47476843302555871</v>
      </c>
      <c r="F97" s="139">
        <f t="shared" si="54"/>
        <v>0.46462873441791674</v>
      </c>
      <c r="G97" s="139">
        <f t="shared" si="54"/>
        <v>0.46667032650118445</v>
      </c>
      <c r="H97" s="148">
        <f t="shared" si="54"/>
        <v>0.4632616997075073</v>
      </c>
      <c r="I97" s="144">
        <f t="shared" si="54"/>
        <v>0.4632616997075073</v>
      </c>
      <c r="J97" s="144">
        <f t="shared" si="54"/>
        <v>0.4632616997075073</v>
      </c>
      <c r="K97" s="144">
        <f t="shared" si="54"/>
        <v>0.4632616997075073</v>
      </c>
      <c r="L97" s="144">
        <f t="shared" si="54"/>
        <v>0.4632616997075073</v>
      </c>
      <c r="M97" s="144">
        <f t="shared" si="54"/>
        <v>0.4632616997075073</v>
      </c>
    </row>
    <row r="98" spans="1:13" hidden="1" outlineLevel="1" x14ac:dyDescent="0.35">
      <c r="A98" s="123" t="s">
        <v>142</v>
      </c>
      <c r="B98" s="124"/>
      <c r="C98" s="125"/>
      <c r="D98" s="89"/>
      <c r="E98" s="89"/>
      <c r="F98" s="89"/>
      <c r="G98" s="89"/>
      <c r="H98" s="149">
        <f t="shared" ref="H98:M98" si="55">CHOOSE($I$4,H14,H42,H70)</f>
        <v>1.1399999999999999</v>
      </c>
      <c r="I98" s="149">
        <f t="shared" si="55"/>
        <v>1.1399999999999999</v>
      </c>
      <c r="J98" s="149">
        <f t="shared" si="55"/>
        <v>1.1399999999999999</v>
      </c>
      <c r="K98" s="149">
        <f t="shared" si="55"/>
        <v>1.1399999999999999</v>
      </c>
      <c r="L98" s="149">
        <f t="shared" si="55"/>
        <v>1.1399999999999999</v>
      </c>
      <c r="M98" s="149">
        <f t="shared" si="55"/>
        <v>1.1399999999999999</v>
      </c>
    </row>
    <row r="99" spans="1:13" hidden="1" outlineLevel="1" x14ac:dyDescent="0.35">
      <c r="A99" s="6" t="s">
        <v>143</v>
      </c>
      <c r="B99" s="27"/>
      <c r="C99" s="28"/>
      <c r="D99" s="89"/>
      <c r="E99" s="89"/>
      <c r="F99" s="89"/>
      <c r="G99" s="89"/>
      <c r="H99" s="151"/>
      <c r="I99" s="120">
        <f t="shared" ref="I99:M99" si="56">CHOOSE($I$4,I15,I43,I71)</f>
        <v>11695.023078648033</v>
      </c>
      <c r="J99" s="120">
        <f t="shared" si="56"/>
        <v>12162.824001793955</v>
      </c>
      <c r="K99" s="120">
        <f t="shared" si="56"/>
        <v>12649.336961865713</v>
      </c>
      <c r="L99" s="120">
        <f t="shared" si="56"/>
        <v>13155.310440340341</v>
      </c>
      <c r="M99" s="120">
        <f t="shared" si="56"/>
        <v>13681.522857953954</v>
      </c>
    </row>
    <row r="100" spans="1:13" hidden="1" outlineLevel="1" x14ac:dyDescent="0.35">
      <c r="A100" s="6" t="s">
        <v>246</v>
      </c>
      <c r="B100" s="27"/>
      <c r="C100" s="28"/>
      <c r="D100" s="89"/>
      <c r="E100" s="89"/>
      <c r="F100" s="89"/>
      <c r="G100" s="89"/>
      <c r="H100" s="151"/>
      <c r="I100" s="120">
        <f t="shared" ref="I100:M100" si="57">CHOOSE($I$4,I16,I44,I72)</f>
        <v>11747.371650714984</v>
      </c>
      <c r="J100" s="120">
        <f t="shared" si="57"/>
        <v>11940.069246106597</v>
      </c>
      <c r="K100" s="120">
        <f t="shared" si="57"/>
        <v>12209.774062973123</v>
      </c>
      <c r="L100" s="120">
        <f t="shared" si="57"/>
        <v>12488.188092984536</v>
      </c>
      <c r="M100" s="120">
        <f t="shared" si="57"/>
        <v>12775.638914871326</v>
      </c>
    </row>
    <row r="101" spans="1:13" hidden="1" outlineLevel="1" x14ac:dyDescent="0.35">
      <c r="A101" s="7" t="s">
        <v>144</v>
      </c>
      <c r="B101" s="27"/>
      <c r="C101" s="28"/>
      <c r="D101" s="132">
        <f t="shared" ref="D101:D118" si="58">CHOOSE($I$4,D17,D45,D73)</f>
        <v>19666.647000000001</v>
      </c>
      <c r="E101" s="132">
        <f t="shared" ref="E101:M101" si="59">CHOOSE($I$4,E17,E45,E73)</f>
        <v>21287.667000000001</v>
      </c>
      <c r="F101" s="132">
        <f t="shared" si="59"/>
        <v>21990.878000000001</v>
      </c>
      <c r="G101" s="132">
        <f t="shared" si="59"/>
        <v>22654.510999999999</v>
      </c>
      <c r="H101" s="132">
        <f t="shared" si="59"/>
        <v>22807.3</v>
      </c>
      <c r="I101" s="132">
        <f t="shared" si="59"/>
        <v>23442.394729363019</v>
      </c>
      <c r="J101" s="132">
        <f t="shared" si="59"/>
        <v>24102.893247900553</v>
      </c>
      <c r="K101" s="132">
        <f t="shared" si="59"/>
        <v>24859.111024838836</v>
      </c>
      <c r="L101" s="132">
        <f t="shared" si="59"/>
        <v>25643.498533324877</v>
      </c>
      <c r="M101" s="132">
        <f t="shared" si="59"/>
        <v>26457.161772825282</v>
      </c>
    </row>
    <row r="102" spans="1:13" s="4" customFormat="1" hidden="1" outlineLevel="1" x14ac:dyDescent="0.35">
      <c r="A102" s="27" t="s">
        <v>52</v>
      </c>
      <c r="B102" s="135"/>
      <c r="C102" s="136"/>
      <c r="D102" s="135">
        <f t="shared" si="58"/>
        <v>0</v>
      </c>
      <c r="E102" s="82">
        <f t="shared" ref="E102:M102" si="60">CHOOSE($I$4,E18,E46,E74)</f>
        <v>8.2424828187540156E-2</v>
      </c>
      <c r="F102" s="82">
        <f t="shared" si="60"/>
        <v>3.3033727932703982E-2</v>
      </c>
      <c r="G102" s="82">
        <f t="shared" si="60"/>
        <v>3.0177649114328187E-2</v>
      </c>
      <c r="H102" s="82">
        <f t="shared" si="60"/>
        <v>6.7443080100029196E-3</v>
      </c>
      <c r="I102" s="82">
        <f t="shared" si="60"/>
        <v>2.7846116347091554E-2</v>
      </c>
      <c r="J102" s="82">
        <f t="shared" si="60"/>
        <v>2.8175385926345609E-2</v>
      </c>
      <c r="K102" s="82">
        <f t="shared" si="60"/>
        <v>3.1374564420981077E-2</v>
      </c>
      <c r="L102" s="82">
        <f t="shared" si="60"/>
        <v>3.1553320941456464E-2</v>
      </c>
      <c r="M102" s="82">
        <f t="shared" si="60"/>
        <v>3.1729806229169988E-2</v>
      </c>
    </row>
    <row r="103" spans="1:13" s="4" customFormat="1" hidden="1" outlineLevel="1" x14ac:dyDescent="0.35">
      <c r="A103" s="27" t="s">
        <v>146</v>
      </c>
      <c r="B103" s="135"/>
      <c r="C103" s="136"/>
      <c r="D103" s="144">
        <f t="shared" si="58"/>
        <v>0.18722912034799422</v>
      </c>
      <c r="E103" s="144">
        <f t="shared" ref="E103:M103" si="61">CHOOSE($I$4,E19,E47,E75)</f>
        <v>0.18281120924216065</v>
      </c>
      <c r="F103" s="144">
        <f t="shared" si="61"/>
        <v>0.17602835410944434</v>
      </c>
      <c r="G103" s="144">
        <f t="shared" si="61"/>
        <v>0.18368540529405705</v>
      </c>
      <c r="H103" s="144">
        <f t="shared" si="61"/>
        <v>0.188502640558986</v>
      </c>
      <c r="I103" s="144">
        <f t="shared" si="61"/>
        <v>0.188502640558986</v>
      </c>
      <c r="J103" s="144">
        <f t="shared" si="61"/>
        <v>0.188502640558986</v>
      </c>
      <c r="K103" s="144">
        <f t="shared" si="61"/>
        <v>0.188502640558986</v>
      </c>
      <c r="L103" s="144">
        <f t="shared" si="61"/>
        <v>0.188502640558986</v>
      </c>
      <c r="M103" s="144">
        <f t="shared" si="61"/>
        <v>0.188502640558986</v>
      </c>
    </row>
    <row r="104" spans="1:13" s="4" customFormat="1" hidden="1" outlineLevel="1" x14ac:dyDescent="0.35">
      <c r="A104" s="27" t="s">
        <v>147</v>
      </c>
      <c r="B104" s="135"/>
      <c r="C104" s="136"/>
      <c r="D104" s="120">
        <f t="shared" si="58"/>
        <v>7747.5410000000002</v>
      </c>
      <c r="E104" s="120">
        <f t="shared" ref="E104:M104" si="62">CHOOSE($I$4,E20,E48,E76)</f>
        <v>8196.8889999999992</v>
      </c>
      <c r="F104" s="120">
        <f t="shared" si="62"/>
        <v>8331.4220000000005</v>
      </c>
      <c r="G104" s="120">
        <f t="shared" si="62"/>
        <v>8917.0079999999998</v>
      </c>
      <c r="H104" s="120">
        <f t="shared" si="62"/>
        <v>9280.3619999999992</v>
      </c>
      <c r="I104" s="120">
        <f t="shared" si="62"/>
        <v>9538.7840399951237</v>
      </c>
      <c r="J104" s="120">
        <f t="shared" si="62"/>
        <v>9807.5429615900539</v>
      </c>
      <c r="K104" s="120">
        <f t="shared" si="62"/>
        <v>10115.250350050001</v>
      </c>
      <c r="L104" s="120">
        <f t="shared" si="62"/>
        <v>10434.420090748308</v>
      </c>
      <c r="M104" s="120">
        <f t="shared" si="62"/>
        <v>10765.502218341511</v>
      </c>
    </row>
    <row r="105" spans="1:13" hidden="1" outlineLevel="1" x14ac:dyDescent="0.35">
      <c r="A105" s="5" t="s">
        <v>51</v>
      </c>
      <c r="B105" s="5"/>
      <c r="C105" s="33"/>
      <c r="D105" s="82">
        <f t="shared" si="58"/>
        <v>0.39394315665502105</v>
      </c>
      <c r="E105" s="82">
        <f t="shared" ref="E105:M105" si="63">CHOOSE($I$4,E21,E49,E77)</f>
        <v>0.38505342083752053</v>
      </c>
      <c r="F105" s="82">
        <f t="shared" si="63"/>
        <v>0.37885808834008355</v>
      </c>
      <c r="G105" s="82">
        <f t="shared" si="63"/>
        <v>0.39360849589735131</v>
      </c>
      <c r="H105" s="82">
        <f t="shared" si="63"/>
        <v>0.40690314066110411</v>
      </c>
      <c r="I105" s="82">
        <f t="shared" si="63"/>
        <v>0.406903140661104</v>
      </c>
      <c r="J105" s="82">
        <f t="shared" si="63"/>
        <v>0.40690314066110406</v>
      </c>
      <c r="K105" s="82">
        <f t="shared" si="63"/>
        <v>0.40690314066110411</v>
      </c>
      <c r="L105" s="82">
        <f t="shared" si="63"/>
        <v>0.40690314066110406</v>
      </c>
      <c r="M105" s="82">
        <f t="shared" si="63"/>
        <v>0.40690314066110406</v>
      </c>
    </row>
    <row r="106" spans="1:13" s="4" customFormat="1" hidden="1" outlineLevel="1" x14ac:dyDescent="0.35">
      <c r="A106" s="27" t="s">
        <v>242</v>
      </c>
      <c r="B106" s="27"/>
      <c r="C106" s="28"/>
      <c r="D106" s="144">
        <f t="shared" si="58"/>
        <v>0.10023453359110682</v>
      </c>
      <c r="E106" s="144">
        <f t="shared" ref="E106:M106" si="64">CHOOSE($I$4,E22,E50,E78)</f>
        <v>0.10928578437932111</v>
      </c>
      <c r="F106" s="144">
        <f t="shared" si="64"/>
        <v>0.105055820832453</v>
      </c>
      <c r="G106" s="144">
        <f t="shared" si="64"/>
        <v>0.1036075599958801</v>
      </c>
      <c r="H106" s="144">
        <f t="shared" si="64"/>
        <v>0.1032181304842379</v>
      </c>
      <c r="I106" s="144">
        <f t="shared" si="64"/>
        <v>0.1032181304842379</v>
      </c>
      <c r="J106" s="144">
        <f t="shared" si="64"/>
        <v>0.1032181304842379</v>
      </c>
      <c r="K106" s="144">
        <f t="shared" si="64"/>
        <v>0.1032181304842379</v>
      </c>
      <c r="L106" s="144">
        <f t="shared" si="64"/>
        <v>0.1032181304842379</v>
      </c>
      <c r="M106" s="144">
        <f t="shared" si="64"/>
        <v>0.1032181304842379</v>
      </c>
    </row>
    <row r="107" spans="1:13" hidden="1" outlineLevel="1" x14ac:dyDescent="0.35">
      <c r="A107" s="5" t="s">
        <v>148</v>
      </c>
      <c r="B107" s="5"/>
      <c r="C107" s="33"/>
      <c r="D107" s="82">
        <f t="shared" si="58"/>
        <v>0.21090046513775326</v>
      </c>
      <c r="E107" s="82">
        <f t="shared" ref="E107:M107" si="65">CHOOSE($I$4,E23,E51,E79)</f>
        <v>0.23018755413639269</v>
      </c>
      <c r="F107" s="82">
        <f t="shared" si="65"/>
        <v>0.22610702492187898</v>
      </c>
      <c r="G107" s="82">
        <f t="shared" si="65"/>
        <v>0.22201445884221468</v>
      </c>
      <c r="H107" s="82">
        <f t="shared" si="65"/>
        <v>0.22280739061616237</v>
      </c>
      <c r="I107" s="82">
        <f t="shared" si="65"/>
        <v>0.22280739061616237</v>
      </c>
      <c r="J107" s="82">
        <f t="shared" si="65"/>
        <v>0.22280739061616242</v>
      </c>
      <c r="K107" s="82">
        <f t="shared" si="65"/>
        <v>0.22280739061616242</v>
      </c>
      <c r="L107" s="82">
        <f t="shared" si="65"/>
        <v>0.22280739061616239</v>
      </c>
      <c r="M107" s="82">
        <f t="shared" si="65"/>
        <v>0.22280739061616239</v>
      </c>
    </row>
    <row r="108" spans="1:13" hidden="1" outlineLevel="1" x14ac:dyDescent="0.35">
      <c r="A108" s="5" t="s">
        <v>149</v>
      </c>
      <c r="B108" s="5"/>
      <c r="C108" s="33"/>
      <c r="D108" s="82">
        <f t="shared" si="58"/>
        <v>4.7345132090894804E-2</v>
      </c>
      <c r="E108" s="82">
        <f t="shared" ref="E108:M108" si="66">CHOOSE($I$4,E24,E52,E80)</f>
        <v>4.4517607307555121E-2</v>
      </c>
      <c r="F108" s="82">
        <f t="shared" si="66"/>
        <v>4.4229975719932604E-2</v>
      </c>
      <c r="G108" s="82">
        <f t="shared" si="66"/>
        <v>4.49309190562533E-2</v>
      </c>
      <c r="H108" s="82">
        <f t="shared" si="66"/>
        <v>4.5239155884300199E-2</v>
      </c>
      <c r="I108" s="82">
        <f t="shared" si="66"/>
        <v>4.5239155884300192E-2</v>
      </c>
      <c r="J108" s="82">
        <f t="shared" si="66"/>
        <v>4.5239155884300206E-2</v>
      </c>
      <c r="K108" s="82">
        <f t="shared" si="66"/>
        <v>4.5239155884300206E-2</v>
      </c>
      <c r="L108" s="82">
        <f t="shared" si="66"/>
        <v>4.5239155884300192E-2</v>
      </c>
      <c r="M108" s="82">
        <f t="shared" si="66"/>
        <v>4.5239155884300199E-2</v>
      </c>
    </row>
    <row r="109" spans="1:13" hidden="1" outlineLevel="1" x14ac:dyDescent="0.35">
      <c r="A109" s="5" t="s">
        <v>150</v>
      </c>
      <c r="B109" s="5"/>
      <c r="C109" s="33"/>
      <c r="D109" s="145">
        <f t="shared" si="58"/>
        <v>2.2501691638472692E-2</v>
      </c>
      <c r="E109" s="145">
        <f t="shared" ref="E109:M109" si="67">CHOOSE($I$4,E25,E53,E81)</f>
        <v>2.1135554663455108E-2</v>
      </c>
      <c r="F109" s="145">
        <f t="shared" si="67"/>
        <v>2.0550517642087471E-2</v>
      </c>
      <c r="G109" s="145">
        <f t="shared" si="67"/>
        <v>2.0967926665980019E-2</v>
      </c>
      <c r="H109" s="145">
        <f t="shared" si="67"/>
        <v>2.0957568248293791E-2</v>
      </c>
      <c r="I109" s="145">
        <f t="shared" si="67"/>
        <v>2.0957568248293791E-2</v>
      </c>
      <c r="J109" s="145">
        <f t="shared" si="67"/>
        <v>2.0957568248293791E-2</v>
      </c>
      <c r="K109" s="145">
        <f t="shared" si="67"/>
        <v>2.0957568248293791E-2</v>
      </c>
      <c r="L109" s="145">
        <f t="shared" si="67"/>
        <v>2.0957568248293791E-2</v>
      </c>
      <c r="M109" s="145">
        <f t="shared" si="67"/>
        <v>2.0957568248293791E-2</v>
      </c>
    </row>
    <row r="110" spans="1:13" hidden="1" outlineLevel="1" x14ac:dyDescent="0.35">
      <c r="A110" s="5" t="s">
        <v>53</v>
      </c>
      <c r="B110" s="5"/>
      <c r="C110" s="33"/>
      <c r="D110" s="82">
        <f t="shared" si="58"/>
        <v>0.05</v>
      </c>
      <c r="E110" s="82">
        <f t="shared" ref="E110:M110" si="68">CHOOSE($I$4,E26,E54,E82)</f>
        <v>0.05</v>
      </c>
      <c r="F110" s="82">
        <f t="shared" si="68"/>
        <v>0.05</v>
      </c>
      <c r="G110" s="82">
        <f t="shared" si="68"/>
        <v>0.05</v>
      </c>
      <c r="H110" s="82">
        <f t="shared" si="68"/>
        <v>0.05</v>
      </c>
      <c r="I110" s="82">
        <f t="shared" si="68"/>
        <v>0.05</v>
      </c>
      <c r="J110" s="82">
        <f t="shared" si="68"/>
        <v>0.05</v>
      </c>
      <c r="K110" s="82">
        <f t="shared" si="68"/>
        <v>0.05</v>
      </c>
      <c r="L110" s="82">
        <f t="shared" si="68"/>
        <v>0.05</v>
      </c>
      <c r="M110" s="82">
        <f t="shared" si="68"/>
        <v>0.05</v>
      </c>
    </row>
    <row r="111" spans="1:13" hidden="1" outlineLevel="1" x14ac:dyDescent="0.35">
      <c r="A111" s="5" t="s">
        <v>54</v>
      </c>
      <c r="B111" s="36"/>
      <c r="C111" s="37"/>
      <c r="D111" s="82">
        <f t="shared" si="58"/>
        <v>0.2</v>
      </c>
      <c r="E111" s="82">
        <f t="shared" ref="E111:M111" si="69">CHOOSE($I$4,E27,E55,E83)</f>
        <v>0.2</v>
      </c>
      <c r="F111" s="82">
        <f t="shared" si="69"/>
        <v>0.2</v>
      </c>
      <c r="G111" s="82">
        <f t="shared" si="69"/>
        <v>0.2</v>
      </c>
      <c r="H111" s="82">
        <f t="shared" si="69"/>
        <v>0.2</v>
      </c>
      <c r="I111" s="82">
        <f t="shared" si="69"/>
        <v>0.2</v>
      </c>
      <c r="J111" s="82">
        <f t="shared" si="69"/>
        <v>0.2</v>
      </c>
      <c r="K111" s="82">
        <f t="shared" si="69"/>
        <v>0.2</v>
      </c>
      <c r="L111" s="82">
        <f t="shared" si="69"/>
        <v>0.2</v>
      </c>
      <c r="M111" s="82">
        <f t="shared" si="69"/>
        <v>0.2</v>
      </c>
    </row>
    <row r="112" spans="1:13" hidden="1" outlineLevel="1" x14ac:dyDescent="0.35">
      <c r="A112" s="6" t="s">
        <v>55</v>
      </c>
      <c r="C112" s="38"/>
      <c r="D112" s="4">
        <f t="shared" si="58"/>
        <v>29.999874915129155</v>
      </c>
      <c r="E112" s="4">
        <f t="shared" ref="E112:M112" si="70">CHOOSE($I$4,E28,E56,E84)</f>
        <v>30.127733818835104</v>
      </c>
      <c r="F112" s="4">
        <f t="shared" si="70"/>
        <v>29.904240294543946</v>
      </c>
      <c r="G112" s="4">
        <f t="shared" si="70"/>
        <v>30.089080536763735</v>
      </c>
      <c r="H112" s="4">
        <f t="shared" si="70"/>
        <v>29.473758401915173</v>
      </c>
      <c r="I112" s="4">
        <f t="shared" si="70"/>
        <v>29</v>
      </c>
      <c r="J112" s="4">
        <f t="shared" si="70"/>
        <v>29</v>
      </c>
      <c r="K112" s="4">
        <f t="shared" si="70"/>
        <v>29</v>
      </c>
      <c r="L112" s="4">
        <f t="shared" si="70"/>
        <v>29</v>
      </c>
      <c r="M112" s="4">
        <f t="shared" si="70"/>
        <v>29</v>
      </c>
    </row>
    <row r="113" spans="1:13" hidden="1" outlineLevel="1" x14ac:dyDescent="0.35">
      <c r="A113" s="6" t="s">
        <v>56</v>
      </c>
      <c r="C113" s="38"/>
      <c r="D113" s="4">
        <f t="shared" si="58"/>
        <v>46.311812354397347</v>
      </c>
      <c r="E113" s="4">
        <f t="shared" ref="E113:M113" si="71">CHOOSE($I$4,E29,E57,E85)</f>
        <v>47.614954893252794</v>
      </c>
      <c r="F113" s="4">
        <f t="shared" si="71"/>
        <v>48.020150101627316</v>
      </c>
      <c r="G113" s="4">
        <f t="shared" si="71"/>
        <v>46.503794322041657</v>
      </c>
      <c r="H113" s="4">
        <f t="shared" si="71"/>
        <v>44.084026571377279</v>
      </c>
      <c r="I113" s="4">
        <f t="shared" si="71"/>
        <v>44</v>
      </c>
      <c r="J113" s="4">
        <f t="shared" si="71"/>
        <v>44</v>
      </c>
      <c r="K113" s="4">
        <f t="shared" si="71"/>
        <v>44</v>
      </c>
      <c r="L113" s="4">
        <f t="shared" si="71"/>
        <v>44</v>
      </c>
      <c r="M113" s="4">
        <f t="shared" si="71"/>
        <v>44</v>
      </c>
    </row>
    <row r="114" spans="1:13" hidden="1" outlineLevel="1" x14ac:dyDescent="0.35">
      <c r="A114" s="6" t="s">
        <v>57</v>
      </c>
      <c r="C114" s="38"/>
      <c r="D114" s="4">
        <f t="shared" si="58"/>
        <v>29.225615585641947</v>
      </c>
      <c r="E114" s="4">
        <f t="shared" ref="E114:M114" si="72">CHOOSE($I$4,E30,E58,E86)</f>
        <v>29.620794547785142</v>
      </c>
      <c r="F114" s="4">
        <f t="shared" si="72"/>
        <v>32.529355132893279</v>
      </c>
      <c r="G114" s="4">
        <f t="shared" si="72"/>
        <v>31.092363716618848</v>
      </c>
      <c r="H114" s="4">
        <f t="shared" si="72"/>
        <v>27.708122269368371</v>
      </c>
      <c r="I114" s="4">
        <f t="shared" si="72"/>
        <v>30</v>
      </c>
      <c r="J114" s="4">
        <f t="shared" si="72"/>
        <v>30</v>
      </c>
      <c r="K114" s="4">
        <f t="shared" si="72"/>
        <v>30</v>
      </c>
      <c r="L114" s="4">
        <f t="shared" si="72"/>
        <v>30</v>
      </c>
      <c r="M114" s="4">
        <f t="shared" si="72"/>
        <v>30</v>
      </c>
    </row>
    <row r="115" spans="1:13" hidden="1" outlineLevel="1" x14ac:dyDescent="0.35">
      <c r="A115" s="6" t="s">
        <v>58</v>
      </c>
      <c r="D115" s="4">
        <f t="shared" si="58"/>
        <v>0</v>
      </c>
      <c r="E115" s="4">
        <f t="shared" ref="E115:M115" si="73">CHOOSE($I$4,E31,E59,E87)</f>
        <v>0</v>
      </c>
      <c r="F115" s="4">
        <f t="shared" si="73"/>
        <v>0</v>
      </c>
      <c r="G115" s="4">
        <f t="shared" si="73"/>
        <v>0</v>
      </c>
      <c r="H115" s="4">
        <f t="shared" si="73"/>
        <v>0</v>
      </c>
      <c r="I115" s="4">
        <f t="shared" si="73"/>
        <v>0</v>
      </c>
      <c r="J115" s="4">
        <f t="shared" si="73"/>
        <v>0</v>
      </c>
      <c r="K115" s="4">
        <f t="shared" si="73"/>
        <v>0</v>
      </c>
      <c r="L115" s="4">
        <f t="shared" si="73"/>
        <v>0</v>
      </c>
      <c r="M115" s="4">
        <f t="shared" si="73"/>
        <v>0</v>
      </c>
    </row>
    <row r="116" spans="1:13" hidden="1" outlineLevel="1" x14ac:dyDescent="0.35">
      <c r="A116" s="6" t="s">
        <v>60</v>
      </c>
      <c r="D116" s="4">
        <f t="shared" si="58"/>
        <v>0</v>
      </c>
      <c r="E116" s="4">
        <f t="shared" ref="E116:M116" si="74">CHOOSE($I$4,E32,E60,E88)</f>
        <v>0</v>
      </c>
      <c r="F116" s="4">
        <f t="shared" si="74"/>
        <v>0</v>
      </c>
      <c r="G116" s="4">
        <f t="shared" si="74"/>
        <v>0</v>
      </c>
      <c r="H116" s="4">
        <f t="shared" si="74"/>
        <v>0</v>
      </c>
      <c r="I116" s="4">
        <f t="shared" si="74"/>
        <v>0</v>
      </c>
      <c r="J116" s="4">
        <f t="shared" si="74"/>
        <v>0</v>
      </c>
      <c r="K116" s="4">
        <f t="shared" si="74"/>
        <v>0</v>
      </c>
      <c r="L116" s="4">
        <f t="shared" si="74"/>
        <v>-18000</v>
      </c>
      <c r="M116" s="4">
        <f t="shared" si="74"/>
        <v>0</v>
      </c>
    </row>
    <row r="117" spans="1:13" hidden="1" outlineLevel="1" x14ac:dyDescent="0.35">
      <c r="A117" s="6" t="s">
        <v>59</v>
      </c>
      <c r="D117" s="4">
        <f t="shared" si="58"/>
        <v>0</v>
      </c>
      <c r="E117" s="4">
        <f t="shared" ref="E117:M118" si="75">CHOOSE($I$4,E33,E61,E89)</f>
        <v>0</v>
      </c>
      <c r="F117" s="4">
        <f t="shared" si="75"/>
        <v>0</v>
      </c>
      <c r="G117" s="4">
        <f t="shared" si="75"/>
        <v>0</v>
      </c>
      <c r="H117" s="4">
        <f t="shared" si="75"/>
        <v>0</v>
      </c>
      <c r="I117" s="4">
        <f t="shared" si="75"/>
        <v>0</v>
      </c>
      <c r="J117" s="4">
        <f t="shared" si="75"/>
        <v>0</v>
      </c>
      <c r="K117" s="4">
        <f t="shared" si="75"/>
        <v>0</v>
      </c>
      <c r="L117" s="4">
        <f t="shared" si="75"/>
        <v>0</v>
      </c>
      <c r="M117" s="4">
        <f t="shared" si="75"/>
        <v>0</v>
      </c>
    </row>
    <row r="118" spans="1:13" hidden="1" outlineLevel="1" x14ac:dyDescent="0.35">
      <c r="A118" s="6" t="s">
        <v>110</v>
      </c>
      <c r="D118" s="4">
        <f t="shared" si="58"/>
        <v>0</v>
      </c>
      <c r="E118" s="4">
        <f t="shared" si="75"/>
        <v>-5000</v>
      </c>
      <c r="F118" s="4">
        <f t="shared" si="75"/>
        <v>-5000</v>
      </c>
      <c r="G118" s="4">
        <f t="shared" si="75"/>
        <v>-5000.0000000000009</v>
      </c>
      <c r="H118" s="4">
        <f t="shared" si="75"/>
        <v>-5000.0000000000009</v>
      </c>
      <c r="I118" s="4">
        <f t="shared" si="75"/>
        <v>-5000.0000000000009</v>
      </c>
      <c r="J118" s="4">
        <f t="shared" si="75"/>
        <v>0</v>
      </c>
      <c r="K118" s="4">
        <f t="shared" si="75"/>
        <v>0</v>
      </c>
      <c r="L118" s="4">
        <f t="shared" si="75"/>
        <v>0</v>
      </c>
      <c r="M118" s="4">
        <f t="shared" si="75"/>
        <v>-5000.0000000000009</v>
      </c>
    </row>
    <row r="119" spans="1:13" hidden="1" outlineLevel="1" x14ac:dyDescent="0.35">
      <c r="D119" s="4"/>
      <c r="E119" s="4"/>
      <c r="F119" s="4"/>
      <c r="G119" s="4"/>
      <c r="H119" s="4"/>
      <c r="I119" s="4"/>
      <c r="J119" s="4"/>
      <c r="K119" s="4"/>
      <c r="L119" s="4"/>
      <c r="M119" s="4"/>
    </row>
    <row r="120" spans="1:13" hidden="1" outlineLevel="1" x14ac:dyDescent="0.35">
      <c r="A120" s="6" t="s">
        <v>151</v>
      </c>
      <c r="D120" s="152">
        <f>DATE(D2,12,31)-DATE(D2-1,12,31)</f>
        <v>365</v>
      </c>
      <c r="E120" s="152">
        <f t="shared" ref="E120:M120" si="76">DATE(E2,12,31)-DATE(E2-1,12,31)</f>
        <v>365</v>
      </c>
      <c r="F120" s="152">
        <f t="shared" si="76"/>
        <v>365</v>
      </c>
      <c r="G120" s="152">
        <f t="shared" si="76"/>
        <v>366</v>
      </c>
      <c r="H120" s="152">
        <f t="shared" si="76"/>
        <v>365</v>
      </c>
      <c r="I120" s="152">
        <f t="shared" si="76"/>
        <v>365</v>
      </c>
      <c r="J120" s="152">
        <f t="shared" si="76"/>
        <v>365</v>
      </c>
      <c r="K120" s="152">
        <f t="shared" si="76"/>
        <v>366</v>
      </c>
      <c r="L120" s="152">
        <f t="shared" si="76"/>
        <v>365</v>
      </c>
      <c r="M120" s="152">
        <f t="shared" si="76"/>
        <v>365</v>
      </c>
    </row>
    <row r="121" spans="1:13" s="4" customFormat="1" hidden="1" outlineLevel="1" x14ac:dyDescent="0.35">
      <c r="C121" s="191"/>
      <c r="D121" s="25"/>
      <c r="E121" s="25"/>
      <c r="F121" s="25"/>
      <c r="G121" s="25"/>
      <c r="H121" s="25"/>
      <c r="I121" s="26"/>
      <c r="J121" s="26"/>
      <c r="K121" s="26"/>
      <c r="L121" s="26"/>
      <c r="M121" s="26"/>
    </row>
    <row r="122" spans="1:13" collapsed="1" x14ac:dyDescent="0.35">
      <c r="D122" s="25"/>
      <c r="E122" s="25"/>
      <c r="F122" s="25"/>
      <c r="G122" s="25"/>
      <c r="H122" s="25"/>
      <c r="I122" s="26"/>
      <c r="J122" s="26"/>
      <c r="K122" s="26"/>
      <c r="L122" s="26"/>
      <c r="M122" s="26"/>
    </row>
    <row r="123" spans="1:13" ht="20" x14ac:dyDescent="0.4">
      <c r="A123" s="350" t="s">
        <v>0</v>
      </c>
      <c r="B123" s="350"/>
      <c r="C123" s="350"/>
      <c r="D123" s="352">
        <f>D$2</f>
        <v>2013</v>
      </c>
      <c r="E123" s="352">
        <f t="shared" ref="E123:M123" si="77">E$2</f>
        <v>2014</v>
      </c>
      <c r="F123" s="352">
        <f t="shared" si="77"/>
        <v>2015</v>
      </c>
      <c r="G123" s="352">
        <f t="shared" si="77"/>
        <v>2016</v>
      </c>
      <c r="H123" s="352">
        <f t="shared" si="77"/>
        <v>2017</v>
      </c>
      <c r="I123" s="351">
        <f t="shared" si="77"/>
        <v>2018</v>
      </c>
      <c r="J123" s="351">
        <f t="shared" si="77"/>
        <v>2019</v>
      </c>
      <c r="K123" s="351">
        <f t="shared" si="77"/>
        <v>2020</v>
      </c>
      <c r="L123" s="351">
        <f t="shared" si="77"/>
        <v>2021</v>
      </c>
      <c r="M123" s="351">
        <f t="shared" si="77"/>
        <v>2022</v>
      </c>
    </row>
    <row r="124" spans="1:13" hidden="1" outlineLevel="1" x14ac:dyDescent="0.35">
      <c r="A124" s="80" t="s">
        <v>105</v>
      </c>
      <c r="B124" s="39"/>
      <c r="C124" s="21"/>
      <c r="D124" s="163"/>
      <c r="E124" s="164"/>
      <c r="F124" s="164"/>
      <c r="G124" s="164"/>
      <c r="H124" s="164"/>
      <c r="I124" s="41"/>
      <c r="J124" s="41"/>
      <c r="K124" s="41"/>
      <c r="L124" s="41"/>
      <c r="M124" s="41"/>
    </row>
    <row r="125" spans="1:13" hidden="1" outlineLevel="1" x14ac:dyDescent="0.35">
      <c r="A125" s="7" t="s">
        <v>98</v>
      </c>
      <c r="B125" s="7"/>
      <c r="C125" s="42"/>
      <c r="D125" s="158">
        <f t="shared" ref="D125:M125" si="78">D101</f>
        <v>19666.647000000001</v>
      </c>
      <c r="E125" s="158">
        <f t="shared" si="78"/>
        <v>21287.667000000001</v>
      </c>
      <c r="F125" s="158">
        <f t="shared" si="78"/>
        <v>21990.878000000001</v>
      </c>
      <c r="G125" s="158">
        <f t="shared" si="78"/>
        <v>22654.510999999999</v>
      </c>
      <c r="H125" s="158">
        <f t="shared" si="78"/>
        <v>22807.3</v>
      </c>
      <c r="I125" s="7">
        <f t="shared" si="78"/>
        <v>23442.394729363019</v>
      </c>
      <c r="J125" s="7">
        <f t="shared" si="78"/>
        <v>24102.893247900553</v>
      </c>
      <c r="K125" s="7">
        <f t="shared" si="78"/>
        <v>24859.111024838836</v>
      </c>
      <c r="L125" s="7">
        <f t="shared" si="78"/>
        <v>25643.498533324877</v>
      </c>
      <c r="M125" s="7">
        <f t="shared" si="78"/>
        <v>26457.161772825282</v>
      </c>
    </row>
    <row r="126" spans="1:13" hidden="1" outlineLevel="1" x14ac:dyDescent="0.35">
      <c r="A126" s="5" t="s">
        <v>49</v>
      </c>
      <c r="B126" s="5"/>
      <c r="C126" s="33"/>
      <c r="D126" s="89">
        <f t="shared" ref="D126:M126" si="79">D104</f>
        <v>7747.5410000000002</v>
      </c>
      <c r="E126" s="89">
        <f t="shared" si="79"/>
        <v>8196.8889999999992</v>
      </c>
      <c r="F126" s="89">
        <f t="shared" si="79"/>
        <v>8331.4220000000005</v>
      </c>
      <c r="G126" s="89">
        <f t="shared" si="79"/>
        <v>8917.0079999999998</v>
      </c>
      <c r="H126" s="89">
        <f t="shared" si="79"/>
        <v>9280.3619999999992</v>
      </c>
      <c r="I126" s="1">
        <f t="shared" si="79"/>
        <v>9538.7840399951237</v>
      </c>
      <c r="J126" s="1">
        <f t="shared" si="79"/>
        <v>9807.5429615900539</v>
      </c>
      <c r="K126" s="1">
        <f t="shared" si="79"/>
        <v>10115.250350050001</v>
      </c>
      <c r="L126" s="1">
        <f t="shared" si="79"/>
        <v>10434.420090748308</v>
      </c>
      <c r="M126" s="1">
        <f t="shared" si="79"/>
        <v>10765.502218341511</v>
      </c>
    </row>
    <row r="127" spans="1:13" hidden="1" outlineLevel="1" x14ac:dyDescent="0.35">
      <c r="A127" s="31" t="s">
        <v>1</v>
      </c>
      <c r="B127" s="31"/>
      <c r="C127" s="32"/>
      <c r="D127" s="86">
        <f>D125-D126</f>
        <v>11919.106</v>
      </c>
      <c r="E127" s="86">
        <f t="shared" ref="E127:M127" si="80">E125-E126</f>
        <v>13090.778000000002</v>
      </c>
      <c r="F127" s="86">
        <f t="shared" si="80"/>
        <v>13659.456</v>
      </c>
      <c r="G127" s="86">
        <f t="shared" si="80"/>
        <v>13737.502999999999</v>
      </c>
      <c r="H127" s="86">
        <f t="shared" si="80"/>
        <v>13526.938</v>
      </c>
      <c r="I127" s="43">
        <f t="shared" si="80"/>
        <v>13903.610689367895</v>
      </c>
      <c r="J127" s="43">
        <f t="shared" si="80"/>
        <v>14295.350286310499</v>
      </c>
      <c r="K127" s="43">
        <f t="shared" si="80"/>
        <v>14743.860674788835</v>
      </c>
      <c r="L127" s="43">
        <f t="shared" si="80"/>
        <v>15209.078442576569</v>
      </c>
      <c r="M127" s="43">
        <f t="shared" si="80"/>
        <v>15691.659554483771</v>
      </c>
    </row>
    <row r="128" spans="1:13" hidden="1" outlineLevel="1" x14ac:dyDescent="0.35">
      <c r="A128" s="39" t="s">
        <v>64</v>
      </c>
      <c r="B128" s="39"/>
      <c r="C128" s="21"/>
      <c r="D128" s="159"/>
      <c r="E128" s="159"/>
      <c r="F128" s="159"/>
      <c r="G128" s="159"/>
      <c r="H128" s="159"/>
      <c r="I128" s="322"/>
      <c r="J128" s="322"/>
      <c r="K128" s="322"/>
      <c r="L128" s="322"/>
      <c r="M128" s="322"/>
    </row>
    <row r="129" spans="1:13" hidden="1" outlineLevel="1" x14ac:dyDescent="0.35">
      <c r="A129" s="6" t="s">
        <v>106</v>
      </c>
      <c r="D129" s="85">
        <f t="shared" ref="D129:M129" si="81">D101*D107</f>
        <v>4147.7049999999999</v>
      </c>
      <c r="E129" s="85">
        <f t="shared" si="81"/>
        <v>4900.1560000000009</v>
      </c>
      <c r="F129" s="85">
        <f t="shared" si="81"/>
        <v>4972.2920000000004</v>
      </c>
      <c r="G129" s="85">
        <f t="shared" si="81"/>
        <v>5029.6289999999999</v>
      </c>
      <c r="H129" s="85">
        <f t="shared" si="81"/>
        <v>5081.6349999999993</v>
      </c>
      <c r="I129" s="6">
        <f t="shared" si="81"/>
        <v>5223.1387994434517</v>
      </c>
      <c r="J129" s="6">
        <f t="shared" si="81"/>
        <v>5370.3027508646419</v>
      </c>
      <c r="K129" s="6">
        <f t="shared" si="81"/>
        <v>5538.793660481816</v>
      </c>
      <c r="L129" s="6">
        <f t="shared" si="81"/>
        <v>5713.5609944795033</v>
      </c>
      <c r="M129" s="6">
        <f t="shared" si="81"/>
        <v>5894.8511777128824</v>
      </c>
    </row>
    <row r="130" spans="1:13" hidden="1" outlineLevel="1" x14ac:dyDescent="0.35">
      <c r="A130" s="6" t="s">
        <v>2</v>
      </c>
      <c r="D130" s="85">
        <f>D197</f>
        <v>931.12</v>
      </c>
      <c r="E130" s="85">
        <f t="shared" ref="E130:M130" si="82">E197</f>
        <v>947.67600000000004</v>
      </c>
      <c r="F130" s="85">
        <f t="shared" si="82"/>
        <v>972.65600000000006</v>
      </c>
      <c r="G130" s="85">
        <f t="shared" si="82"/>
        <v>1017.8879999999999</v>
      </c>
      <c r="H130" s="85">
        <f t="shared" si="82"/>
        <v>1031.7829999999999</v>
      </c>
      <c r="I130" s="6">
        <f t="shared" si="82"/>
        <v>1060.5141494629509</v>
      </c>
      <c r="J130" s="6">
        <f t="shared" si="82"/>
        <v>1090.3945449044199</v>
      </c>
      <c r="K130" s="6">
        <f t="shared" si="82"/>
        <v>1124.6051987978099</v>
      </c>
      <c r="L130" s="6">
        <f t="shared" si="82"/>
        <v>1160.0902275679075</v>
      </c>
      <c r="M130" s="6">
        <f t="shared" si="82"/>
        <v>1196.8996656969912</v>
      </c>
    </row>
    <row r="131" spans="1:13" hidden="1" outlineLevel="1" x14ac:dyDescent="0.35">
      <c r="A131" s="44" t="s">
        <v>3</v>
      </c>
      <c r="B131" s="44"/>
      <c r="C131" s="45"/>
      <c r="D131" s="160">
        <f>D204</f>
        <v>900</v>
      </c>
      <c r="E131" s="160">
        <f t="shared" ref="E131:M131" si="83">E204</f>
        <v>900</v>
      </c>
      <c r="F131" s="160">
        <f t="shared" si="83"/>
        <v>900</v>
      </c>
      <c r="G131" s="160">
        <f t="shared" si="83"/>
        <v>900</v>
      </c>
      <c r="H131" s="160">
        <f t="shared" si="83"/>
        <v>900</v>
      </c>
      <c r="I131" s="44">
        <f t="shared" si="83"/>
        <v>900</v>
      </c>
      <c r="J131" s="44">
        <f t="shared" si="83"/>
        <v>900</v>
      </c>
      <c r="K131" s="44">
        <f t="shared" si="83"/>
        <v>900</v>
      </c>
      <c r="L131" s="44">
        <f t="shared" si="83"/>
        <v>900</v>
      </c>
      <c r="M131" s="44">
        <f t="shared" si="83"/>
        <v>0</v>
      </c>
    </row>
    <row r="132" spans="1:13" hidden="1" outlineLevel="1" x14ac:dyDescent="0.35">
      <c r="A132" s="39" t="s">
        <v>65</v>
      </c>
      <c r="B132" s="5"/>
      <c r="C132" s="33"/>
      <c r="D132" s="161">
        <f t="shared" ref="D132:M132" si="84">SUM(D129:D131)</f>
        <v>5978.8249999999998</v>
      </c>
      <c r="E132" s="161">
        <f t="shared" si="84"/>
        <v>6747.8320000000012</v>
      </c>
      <c r="F132" s="161">
        <f t="shared" si="84"/>
        <v>6844.9480000000003</v>
      </c>
      <c r="G132" s="161">
        <f t="shared" si="84"/>
        <v>6947.5169999999998</v>
      </c>
      <c r="H132" s="161">
        <f t="shared" si="84"/>
        <v>7013.4179999999997</v>
      </c>
      <c r="I132" s="41">
        <f t="shared" si="84"/>
        <v>7183.6529489064023</v>
      </c>
      <c r="J132" s="41">
        <f t="shared" si="84"/>
        <v>7360.6972957690614</v>
      </c>
      <c r="K132" s="41">
        <f t="shared" si="84"/>
        <v>7563.3988592796259</v>
      </c>
      <c r="L132" s="41">
        <f t="shared" si="84"/>
        <v>7773.6512220474106</v>
      </c>
      <c r="M132" s="41">
        <f t="shared" si="84"/>
        <v>7091.7508434098736</v>
      </c>
    </row>
    <row r="133" spans="1:13" hidden="1" outlineLevel="1" x14ac:dyDescent="0.35">
      <c r="A133" s="31" t="s">
        <v>4</v>
      </c>
      <c r="B133" s="31"/>
      <c r="C133" s="32"/>
      <c r="D133" s="86">
        <f t="shared" ref="D133:M133" si="85">D127-D132</f>
        <v>5940.2809999999999</v>
      </c>
      <c r="E133" s="86">
        <f t="shared" si="85"/>
        <v>6342.9460000000008</v>
      </c>
      <c r="F133" s="86">
        <f t="shared" si="85"/>
        <v>6814.5079999999998</v>
      </c>
      <c r="G133" s="86">
        <f t="shared" si="85"/>
        <v>6789.985999999999</v>
      </c>
      <c r="H133" s="86">
        <f t="shared" si="85"/>
        <v>6513.52</v>
      </c>
      <c r="I133" s="43">
        <f t="shared" si="85"/>
        <v>6719.9577404614929</v>
      </c>
      <c r="J133" s="43">
        <f t="shared" si="85"/>
        <v>6934.6529905414372</v>
      </c>
      <c r="K133" s="43">
        <f t="shared" si="85"/>
        <v>7180.4618155092094</v>
      </c>
      <c r="L133" s="43">
        <f t="shared" si="85"/>
        <v>7435.4272205291581</v>
      </c>
      <c r="M133" s="43">
        <f t="shared" si="85"/>
        <v>8599.9087110738983</v>
      </c>
    </row>
    <row r="134" spans="1:13" hidden="1" outlineLevel="1" x14ac:dyDescent="0.35">
      <c r="A134" s="39"/>
      <c r="B134" s="39"/>
      <c r="C134" s="21"/>
      <c r="D134" s="87"/>
      <c r="E134" s="87"/>
      <c r="F134" s="87"/>
      <c r="G134" s="87"/>
      <c r="H134" s="87"/>
      <c r="I134" s="41"/>
      <c r="J134" s="41"/>
      <c r="K134" s="41"/>
      <c r="L134" s="41"/>
      <c r="M134" s="41"/>
    </row>
    <row r="135" spans="1:13" hidden="1" outlineLevel="1" x14ac:dyDescent="0.35">
      <c r="A135" s="5" t="s">
        <v>5</v>
      </c>
      <c r="B135" s="5"/>
      <c r="C135" s="33"/>
      <c r="D135" s="85">
        <f t="shared" ref="D135:M135" si="86">D133*D111</f>
        <v>1188.0562</v>
      </c>
      <c r="E135" s="85">
        <f t="shared" si="86"/>
        <v>1268.5892000000003</v>
      </c>
      <c r="F135" s="85">
        <f t="shared" si="86"/>
        <v>1362.9016000000001</v>
      </c>
      <c r="G135" s="85">
        <f t="shared" si="86"/>
        <v>1357.9971999999998</v>
      </c>
      <c r="H135" s="85">
        <f t="shared" si="86"/>
        <v>1302.7040000000002</v>
      </c>
      <c r="I135" s="6">
        <f t="shared" si="86"/>
        <v>1343.9915480922987</v>
      </c>
      <c r="J135" s="6">
        <f t="shared" si="86"/>
        <v>1386.9305981082875</v>
      </c>
      <c r="K135" s="6">
        <f t="shared" si="86"/>
        <v>1436.092363101842</v>
      </c>
      <c r="L135" s="6">
        <f t="shared" si="86"/>
        <v>1487.0854441058318</v>
      </c>
      <c r="M135" s="6">
        <f t="shared" si="86"/>
        <v>1719.9817422147798</v>
      </c>
    </row>
    <row r="136" spans="1:13" ht="16" hidden="1" outlineLevel="1" thickBot="1" x14ac:dyDescent="0.4">
      <c r="A136" s="46" t="s">
        <v>6</v>
      </c>
      <c r="B136" s="46"/>
      <c r="C136" s="47"/>
      <c r="D136" s="162">
        <f>D133-D135</f>
        <v>4752.2248</v>
      </c>
      <c r="E136" s="162">
        <f t="shared" ref="E136:M136" si="87">E133-E135</f>
        <v>5074.3568000000005</v>
      </c>
      <c r="F136" s="162">
        <f t="shared" si="87"/>
        <v>5451.6063999999997</v>
      </c>
      <c r="G136" s="162">
        <f t="shared" si="87"/>
        <v>5431.9887999999992</v>
      </c>
      <c r="H136" s="162">
        <f t="shared" si="87"/>
        <v>5210.8160000000007</v>
      </c>
      <c r="I136" s="48">
        <f t="shared" si="87"/>
        <v>5375.9661923691947</v>
      </c>
      <c r="J136" s="48">
        <f t="shared" si="87"/>
        <v>5547.7223924331502</v>
      </c>
      <c r="K136" s="48">
        <f t="shared" si="87"/>
        <v>5744.3694524073671</v>
      </c>
      <c r="L136" s="48">
        <f t="shared" si="87"/>
        <v>5948.3417764233263</v>
      </c>
      <c r="M136" s="48">
        <f t="shared" si="87"/>
        <v>6879.9269688591185</v>
      </c>
    </row>
    <row r="137" spans="1:13" ht="16" hidden="1" outlineLevel="1" collapsed="1" thickTop="1" x14ac:dyDescent="0.35">
      <c r="D137" s="9"/>
      <c r="E137" s="9"/>
      <c r="F137" s="9"/>
      <c r="G137" s="9"/>
      <c r="H137" s="9"/>
    </row>
    <row r="138" spans="1:13" collapsed="1" x14ac:dyDescent="0.35">
      <c r="D138" s="9"/>
      <c r="E138" s="9"/>
      <c r="F138" s="9"/>
      <c r="G138" s="9"/>
      <c r="H138" s="9"/>
    </row>
    <row r="139" spans="1:13" ht="20" x14ac:dyDescent="0.4">
      <c r="A139" s="350" t="s">
        <v>7</v>
      </c>
      <c r="B139" s="350"/>
      <c r="C139" s="350"/>
      <c r="D139" s="352">
        <f>D$2</f>
        <v>2013</v>
      </c>
      <c r="E139" s="352">
        <f t="shared" ref="E139:M139" si="88">E$2</f>
        <v>2014</v>
      </c>
      <c r="F139" s="352">
        <f t="shared" si="88"/>
        <v>2015</v>
      </c>
      <c r="G139" s="352">
        <f t="shared" si="88"/>
        <v>2016</v>
      </c>
      <c r="H139" s="352">
        <f t="shared" si="88"/>
        <v>2017</v>
      </c>
      <c r="I139" s="351">
        <f t="shared" si="88"/>
        <v>2018</v>
      </c>
      <c r="J139" s="351">
        <f t="shared" si="88"/>
        <v>2019</v>
      </c>
      <c r="K139" s="351">
        <f t="shared" si="88"/>
        <v>2020</v>
      </c>
      <c r="L139" s="351">
        <f t="shared" si="88"/>
        <v>2021</v>
      </c>
      <c r="M139" s="351">
        <f t="shared" si="88"/>
        <v>2022</v>
      </c>
    </row>
    <row r="140" spans="1:13" hidden="1" outlineLevel="1" x14ac:dyDescent="0.35">
      <c r="A140" s="80" t="s">
        <v>105</v>
      </c>
      <c r="D140" s="9"/>
      <c r="E140" s="9"/>
      <c r="F140" s="9"/>
      <c r="G140" s="9"/>
      <c r="H140" s="9"/>
    </row>
    <row r="141" spans="1:13" hidden="1" outlineLevel="1" x14ac:dyDescent="0.35">
      <c r="A141" s="7" t="s">
        <v>8</v>
      </c>
      <c r="D141" s="81"/>
      <c r="E141" s="81"/>
      <c r="F141" s="81"/>
      <c r="G141" s="81"/>
      <c r="H141" s="81"/>
    </row>
    <row r="142" spans="1:13" hidden="1" outlineLevel="1" x14ac:dyDescent="0.35">
      <c r="A142" s="6" t="s">
        <v>9</v>
      </c>
      <c r="C142" s="49"/>
      <c r="D142" s="81">
        <v>303.22000000000003</v>
      </c>
      <c r="E142" s="85">
        <f>E181</f>
        <v>195.46080000000052</v>
      </c>
      <c r="F142" s="85">
        <f t="shared" ref="F142:H142" si="89">F181</f>
        <v>652.99720000000048</v>
      </c>
      <c r="G142" s="85">
        <f t="shared" si="89"/>
        <v>1002.3599999999994</v>
      </c>
      <c r="H142" s="85">
        <f t="shared" si="89"/>
        <v>1193.0339999999994</v>
      </c>
      <c r="I142" s="6">
        <f>I181</f>
        <v>1598.6405931597153</v>
      </c>
      <c r="J142" s="6">
        <f t="shared" ref="J142:M142" si="90">J181</f>
        <v>7083.5764597300795</v>
      </c>
      <c r="K142" s="6">
        <f t="shared" si="90"/>
        <v>12762.516909829857</v>
      </c>
      <c r="L142" s="6">
        <f t="shared" si="90"/>
        <v>629.83883079222142</v>
      </c>
      <c r="M142" s="6">
        <f t="shared" si="90"/>
        <v>2432.4195428518415</v>
      </c>
    </row>
    <row r="143" spans="1:13" hidden="1" outlineLevel="1" x14ac:dyDescent="0.35">
      <c r="A143" s="6" t="s">
        <v>10</v>
      </c>
      <c r="C143" s="49"/>
      <c r="D143" s="85">
        <f t="shared" ref="D143:M143" si="91">D112/D120*D101</f>
        <v>1616.4300000000003</v>
      </c>
      <c r="E143" s="85">
        <f t="shared" si="91"/>
        <v>1757.1210000000001</v>
      </c>
      <c r="F143" s="85">
        <f t="shared" si="91"/>
        <v>1801.7</v>
      </c>
      <c r="G143" s="85">
        <f t="shared" si="91"/>
        <v>1862.4409999999998</v>
      </c>
      <c r="H143" s="85">
        <f t="shared" si="91"/>
        <v>1841.6899999999998</v>
      </c>
      <c r="I143" s="6">
        <f t="shared" si="91"/>
        <v>1862.5464305521305</v>
      </c>
      <c r="J143" s="6">
        <f t="shared" si="91"/>
        <v>1915.0243950386741</v>
      </c>
      <c r="K143" s="6">
        <f t="shared" si="91"/>
        <v>1969.7109828424216</v>
      </c>
      <c r="L143" s="6">
        <f t="shared" si="91"/>
        <v>2037.4286505929356</v>
      </c>
      <c r="M143" s="6">
        <f t="shared" si="91"/>
        <v>2102.075866882009</v>
      </c>
    </row>
    <row r="144" spans="1:13" hidden="1" outlineLevel="1" x14ac:dyDescent="0.35">
      <c r="A144" s="6" t="s">
        <v>14</v>
      </c>
      <c r="C144" s="49"/>
      <c r="D144" s="85">
        <f t="shared" ref="D144:M144" si="92">D113/D120*D104</f>
        <v>983.02099999999996</v>
      </c>
      <c r="E144" s="85">
        <f t="shared" si="92"/>
        <v>1069.3</v>
      </c>
      <c r="F144" s="85">
        <f t="shared" si="92"/>
        <v>1096.0990000000002</v>
      </c>
      <c r="G144" s="85">
        <f t="shared" si="92"/>
        <v>1132.991</v>
      </c>
      <c r="H144" s="85">
        <f t="shared" si="92"/>
        <v>1120.865</v>
      </c>
      <c r="I144" s="6">
        <f t="shared" si="92"/>
        <v>1149.8808157802341</v>
      </c>
      <c r="J144" s="6">
        <f t="shared" si="92"/>
        <v>1182.2791515341435</v>
      </c>
      <c r="K144" s="6">
        <f t="shared" si="92"/>
        <v>1216.0410256890711</v>
      </c>
      <c r="L144" s="6">
        <f t="shared" si="92"/>
        <v>1257.8479013504809</v>
      </c>
      <c r="M144" s="6">
        <f t="shared" si="92"/>
        <v>1297.7591715261001</v>
      </c>
    </row>
    <row r="145" spans="1:13" hidden="1" outlineLevel="1" x14ac:dyDescent="0.35">
      <c r="A145" s="6" t="s">
        <v>11</v>
      </c>
      <c r="D145" s="81">
        <v>21220.786</v>
      </c>
      <c r="E145" s="85">
        <f t="shared" ref="E145:M145" si="93">E198</f>
        <v>21220.786</v>
      </c>
      <c r="F145" s="85">
        <f t="shared" si="93"/>
        <v>21220.786</v>
      </c>
      <c r="G145" s="85">
        <f t="shared" si="93"/>
        <v>21220.786</v>
      </c>
      <c r="H145" s="85">
        <f t="shared" si="93"/>
        <v>21220.786</v>
      </c>
      <c r="I145" s="6">
        <f t="shared" si="93"/>
        <v>21220.786</v>
      </c>
      <c r="J145" s="6">
        <f t="shared" si="93"/>
        <v>21220.786</v>
      </c>
      <c r="K145" s="6">
        <f t="shared" si="93"/>
        <v>21220.786</v>
      </c>
      <c r="L145" s="6">
        <f t="shared" si="93"/>
        <v>21220.786</v>
      </c>
      <c r="M145" s="6">
        <f t="shared" si="93"/>
        <v>21220.786</v>
      </c>
    </row>
    <row r="146" spans="1:13" ht="16" hidden="1" outlineLevel="1" thickBot="1" x14ac:dyDescent="0.4">
      <c r="A146" s="46" t="s">
        <v>15</v>
      </c>
      <c r="B146" s="46"/>
      <c r="C146" s="47"/>
      <c r="D146" s="162">
        <f>SUM(D142:D145)</f>
        <v>24123.457000000002</v>
      </c>
      <c r="E146" s="162">
        <f t="shared" ref="E146:H146" si="94">SUM(E142:E145)</f>
        <v>24242.667799999999</v>
      </c>
      <c r="F146" s="162">
        <f t="shared" si="94"/>
        <v>24771.582200000001</v>
      </c>
      <c r="G146" s="162">
        <f t="shared" si="94"/>
        <v>25218.578000000001</v>
      </c>
      <c r="H146" s="162">
        <f t="shared" si="94"/>
        <v>25376.375</v>
      </c>
      <c r="I146" s="46">
        <f t="shared" ref="I146" si="95">SUM(I142:I145)</f>
        <v>25831.85383949208</v>
      </c>
      <c r="J146" s="46">
        <f t="shared" ref="J146:M146" si="96">SUM(J142:J145)</f>
        <v>31401.666006302898</v>
      </c>
      <c r="K146" s="46">
        <f t="shared" si="96"/>
        <v>37169.054918361348</v>
      </c>
      <c r="L146" s="46">
        <f t="shared" si="96"/>
        <v>25145.901382735639</v>
      </c>
      <c r="M146" s="46">
        <f t="shared" si="96"/>
        <v>27053.040581259949</v>
      </c>
    </row>
    <row r="147" spans="1:13" ht="16" hidden="1" outlineLevel="1" thickTop="1" x14ac:dyDescent="0.35">
      <c r="A147" s="39"/>
      <c r="B147" s="39"/>
      <c r="C147" s="21"/>
      <c r="D147" s="157"/>
      <c r="E147" s="157"/>
      <c r="F147" s="157"/>
      <c r="G147" s="157"/>
      <c r="H147" s="157"/>
      <c r="I147" s="39"/>
      <c r="J147" s="39"/>
      <c r="K147" s="39"/>
      <c r="L147" s="39"/>
      <c r="M147" s="39"/>
    </row>
    <row r="148" spans="1:13" hidden="1" outlineLevel="1" x14ac:dyDescent="0.35">
      <c r="A148" s="7" t="s">
        <v>16</v>
      </c>
      <c r="C148" s="49"/>
      <c r="D148" s="81"/>
      <c r="E148" s="81"/>
      <c r="F148" s="81"/>
      <c r="G148" s="81"/>
      <c r="H148" s="81"/>
    </row>
    <row r="149" spans="1:13" hidden="1" outlineLevel="1" x14ac:dyDescent="0.35">
      <c r="A149" s="6" t="s">
        <v>17</v>
      </c>
      <c r="C149" s="49"/>
      <c r="D149" s="85">
        <f t="shared" ref="D149:M149" si="97">D114/D120*D104</f>
        <v>620.34699999999998</v>
      </c>
      <c r="E149" s="85">
        <f t="shared" si="97"/>
        <v>665.20099999999991</v>
      </c>
      <c r="F149" s="85">
        <f t="shared" si="97"/>
        <v>742.50900000000001</v>
      </c>
      <c r="G149" s="85">
        <f t="shared" si="97"/>
        <v>757.51599999999996</v>
      </c>
      <c r="H149" s="85">
        <f t="shared" si="97"/>
        <v>704.49699999999996</v>
      </c>
      <c r="I149" s="6">
        <f t="shared" si="97"/>
        <v>784.0096471228868</v>
      </c>
      <c r="J149" s="6">
        <f t="shared" si="97"/>
        <v>806.09942150055235</v>
      </c>
      <c r="K149" s="6">
        <f t="shared" si="97"/>
        <v>829.11888115163936</v>
      </c>
      <c r="L149" s="6">
        <f t="shared" si="97"/>
        <v>857.62356910260064</v>
      </c>
      <c r="M149" s="6">
        <f t="shared" si="97"/>
        <v>884.83579876779538</v>
      </c>
    </row>
    <row r="150" spans="1:13" hidden="1" outlineLevel="1" x14ac:dyDescent="0.35">
      <c r="A150" s="6" t="s">
        <v>152</v>
      </c>
      <c r="D150" s="85">
        <f>D203</f>
        <v>18000</v>
      </c>
      <c r="E150" s="85">
        <f t="shared" ref="E150:M150" si="98">E203</f>
        <v>18000</v>
      </c>
      <c r="F150" s="85">
        <f t="shared" si="98"/>
        <v>18000</v>
      </c>
      <c r="G150" s="85">
        <f t="shared" si="98"/>
        <v>18000</v>
      </c>
      <c r="H150" s="85">
        <f t="shared" si="98"/>
        <v>18000</v>
      </c>
      <c r="I150" s="6">
        <f t="shared" si="98"/>
        <v>18000</v>
      </c>
      <c r="J150" s="6">
        <f t="shared" si="98"/>
        <v>18000</v>
      </c>
      <c r="K150" s="6">
        <f t="shared" si="98"/>
        <v>18000</v>
      </c>
      <c r="L150" s="6">
        <f t="shared" si="98"/>
        <v>0</v>
      </c>
      <c r="M150" s="6">
        <f t="shared" si="98"/>
        <v>0</v>
      </c>
    </row>
    <row r="151" spans="1:13" hidden="1" outlineLevel="1" x14ac:dyDescent="0.35">
      <c r="A151" s="31" t="s">
        <v>22</v>
      </c>
      <c r="B151" s="31"/>
      <c r="C151" s="32"/>
      <c r="D151" s="86">
        <f>SUM(D149:D150)</f>
        <v>18620.347000000002</v>
      </c>
      <c r="E151" s="86">
        <f t="shared" ref="E151:H151" si="99">SUM(E149:E150)</f>
        <v>18665.201000000001</v>
      </c>
      <c r="F151" s="86">
        <f t="shared" si="99"/>
        <v>18742.508999999998</v>
      </c>
      <c r="G151" s="86">
        <f t="shared" si="99"/>
        <v>18757.516</v>
      </c>
      <c r="H151" s="86">
        <f t="shared" si="99"/>
        <v>18704.496999999999</v>
      </c>
      <c r="I151" s="31">
        <f t="shared" ref="I151" si="100">SUM(I149:I150)</f>
        <v>18784.009647122886</v>
      </c>
      <c r="J151" s="31">
        <f t="shared" ref="J151:M151" si="101">SUM(J149:J150)</f>
        <v>18806.099421500552</v>
      </c>
      <c r="K151" s="31">
        <f t="shared" si="101"/>
        <v>18829.11888115164</v>
      </c>
      <c r="L151" s="31">
        <f t="shared" si="101"/>
        <v>857.62356910260064</v>
      </c>
      <c r="M151" s="31">
        <f t="shared" si="101"/>
        <v>884.83579876779538</v>
      </c>
    </row>
    <row r="152" spans="1:13" hidden="1" outlineLevel="1" x14ac:dyDescent="0.35">
      <c r="A152" s="7" t="s">
        <v>23</v>
      </c>
      <c r="D152" s="81"/>
      <c r="E152" s="81"/>
      <c r="F152" s="81"/>
      <c r="G152" s="81"/>
      <c r="H152" s="81"/>
    </row>
    <row r="153" spans="1:13" hidden="1" outlineLevel="1" x14ac:dyDescent="0.35">
      <c r="A153" s="6" t="s">
        <v>24</v>
      </c>
      <c r="D153" s="165">
        <v>1</v>
      </c>
      <c r="E153" s="166">
        <f t="shared" ref="E153:M153" si="102">D153+E117</f>
        <v>1</v>
      </c>
      <c r="F153" s="166">
        <f t="shared" si="102"/>
        <v>1</v>
      </c>
      <c r="G153" s="166">
        <f t="shared" si="102"/>
        <v>1</v>
      </c>
      <c r="H153" s="166">
        <f t="shared" si="102"/>
        <v>1</v>
      </c>
      <c r="I153" s="153">
        <f t="shared" si="102"/>
        <v>1</v>
      </c>
      <c r="J153" s="153">
        <f t="shared" si="102"/>
        <v>1</v>
      </c>
      <c r="K153" s="153">
        <f t="shared" si="102"/>
        <v>1</v>
      </c>
      <c r="L153" s="153">
        <f t="shared" si="102"/>
        <v>1</v>
      </c>
      <c r="M153" s="153">
        <f t="shared" si="102"/>
        <v>1</v>
      </c>
    </row>
    <row r="154" spans="1:13" hidden="1" outlineLevel="1" x14ac:dyDescent="0.35">
      <c r="A154" s="6" t="s">
        <v>25</v>
      </c>
      <c r="D154" s="81">
        <v>5502.11</v>
      </c>
      <c r="E154" s="85">
        <f>E210</f>
        <v>5576.4668000000001</v>
      </c>
      <c r="F154" s="85">
        <f t="shared" ref="F154:M154" si="103">F210</f>
        <v>6028.0731999999989</v>
      </c>
      <c r="G154" s="85">
        <f t="shared" si="103"/>
        <v>6460.0619999999972</v>
      </c>
      <c r="H154" s="85">
        <f t="shared" si="103"/>
        <v>6670.8779999999961</v>
      </c>
      <c r="I154" s="6">
        <f t="shared" si="103"/>
        <v>7046.8441923691889</v>
      </c>
      <c r="J154" s="6">
        <f t="shared" si="103"/>
        <v>12594.566584802338</v>
      </c>
      <c r="K154" s="6">
        <f t="shared" si="103"/>
        <v>18338.936037209707</v>
      </c>
      <c r="L154" s="6">
        <f t="shared" si="103"/>
        <v>24287.277813633034</v>
      </c>
      <c r="M154" s="6">
        <f t="shared" si="103"/>
        <v>26167.204782492154</v>
      </c>
    </row>
    <row r="155" spans="1:13" hidden="1" outlineLevel="1" x14ac:dyDescent="0.35">
      <c r="A155" s="50" t="s">
        <v>23</v>
      </c>
      <c r="B155" s="50"/>
      <c r="C155" s="51"/>
      <c r="D155" s="167">
        <f>SUM(D153:D154)</f>
        <v>5503.11</v>
      </c>
      <c r="E155" s="167">
        <f t="shared" ref="E155:H155" si="104">SUM(E153:E154)</f>
        <v>5577.4668000000001</v>
      </c>
      <c r="F155" s="167">
        <f t="shared" si="104"/>
        <v>6029.0731999999989</v>
      </c>
      <c r="G155" s="167">
        <f t="shared" si="104"/>
        <v>6461.0619999999972</v>
      </c>
      <c r="H155" s="167">
        <f t="shared" si="104"/>
        <v>6671.8779999999961</v>
      </c>
      <c r="I155" s="50">
        <f t="shared" ref="I155" si="105">SUM(I153:I154)</f>
        <v>7047.8441923691889</v>
      </c>
      <c r="J155" s="50">
        <f t="shared" ref="J155:M155" si="106">SUM(J153:J154)</f>
        <v>12595.566584802338</v>
      </c>
      <c r="K155" s="50">
        <f t="shared" si="106"/>
        <v>18339.936037209707</v>
      </c>
      <c r="L155" s="50">
        <f t="shared" si="106"/>
        <v>24288.277813633034</v>
      </c>
      <c r="M155" s="50">
        <f t="shared" si="106"/>
        <v>26168.204782492154</v>
      </c>
    </row>
    <row r="156" spans="1:13" ht="16" hidden="1" outlineLevel="1" thickBot="1" x14ac:dyDescent="0.4">
      <c r="A156" s="46" t="s">
        <v>26</v>
      </c>
      <c r="B156" s="46"/>
      <c r="C156" s="47"/>
      <c r="D156" s="162">
        <f>D151+D155</f>
        <v>24123.457000000002</v>
      </c>
      <c r="E156" s="162">
        <f t="shared" ref="E156:H156" si="107">E151+E155</f>
        <v>24242.667800000003</v>
      </c>
      <c r="F156" s="162">
        <f t="shared" si="107"/>
        <v>24771.582199999997</v>
      </c>
      <c r="G156" s="162">
        <f t="shared" si="107"/>
        <v>25218.577999999998</v>
      </c>
      <c r="H156" s="162">
        <f t="shared" si="107"/>
        <v>25376.374999999996</v>
      </c>
      <c r="I156" s="46">
        <f t="shared" ref="I156:M156" si="108">I155+I151</f>
        <v>25831.853839492076</v>
      </c>
      <c r="J156" s="46">
        <f t="shared" si="108"/>
        <v>31401.66600630289</v>
      </c>
      <c r="K156" s="46">
        <f t="shared" si="108"/>
        <v>37169.054918361348</v>
      </c>
      <c r="L156" s="46">
        <f t="shared" si="108"/>
        <v>25145.901382735636</v>
      </c>
      <c r="M156" s="46">
        <f t="shared" si="108"/>
        <v>27053.040581259949</v>
      </c>
    </row>
    <row r="157" spans="1:13" ht="16" hidden="1" outlineLevel="1" thickTop="1" x14ac:dyDescent="0.35">
      <c r="D157" s="9"/>
      <c r="E157" s="9"/>
      <c r="F157" s="9"/>
      <c r="G157" s="9"/>
      <c r="H157" s="9"/>
    </row>
    <row r="158" spans="1:13" hidden="1" outlineLevel="1" x14ac:dyDescent="0.35">
      <c r="A158" s="52" t="s">
        <v>44</v>
      </c>
      <c r="B158" s="53"/>
      <c r="C158" s="54"/>
      <c r="D158" s="53">
        <f t="shared" ref="D158:M158" si="109">D156-D146</f>
        <v>0</v>
      </c>
      <c r="E158" s="53">
        <f t="shared" si="109"/>
        <v>0</v>
      </c>
      <c r="F158" s="53">
        <f t="shared" si="109"/>
        <v>0</v>
      </c>
      <c r="G158" s="53">
        <f t="shared" si="109"/>
        <v>0</v>
      </c>
      <c r="H158" s="53">
        <f t="shared" si="109"/>
        <v>0</v>
      </c>
      <c r="I158" s="53">
        <f t="shared" si="109"/>
        <v>0</v>
      </c>
      <c r="J158" s="53">
        <f t="shared" si="109"/>
        <v>0</v>
      </c>
      <c r="K158" s="53">
        <f t="shared" si="109"/>
        <v>0</v>
      </c>
      <c r="L158" s="53">
        <f t="shared" si="109"/>
        <v>0</v>
      </c>
      <c r="M158" s="53">
        <f t="shared" si="109"/>
        <v>0</v>
      </c>
    </row>
    <row r="159" spans="1:13" hidden="1" outlineLevel="1" x14ac:dyDescent="0.35">
      <c r="A159" s="53"/>
      <c r="B159" s="53"/>
      <c r="C159" s="54"/>
      <c r="D159" s="53"/>
      <c r="E159" s="53"/>
      <c r="F159" s="53"/>
      <c r="G159" s="53"/>
      <c r="H159" s="53"/>
      <c r="I159" s="53"/>
      <c r="J159" s="53"/>
      <c r="K159" s="53"/>
      <c r="L159" s="53"/>
      <c r="M159" s="53"/>
    </row>
    <row r="160" spans="1:13" collapsed="1" x14ac:dyDescent="0.35">
      <c r="D160" s="9"/>
      <c r="E160" s="9"/>
      <c r="F160" s="9"/>
      <c r="G160" s="9"/>
      <c r="H160" s="9"/>
    </row>
    <row r="161" spans="1:13" ht="20" x14ac:dyDescent="0.4">
      <c r="A161" s="350" t="s">
        <v>43</v>
      </c>
      <c r="B161" s="350"/>
      <c r="C161" s="350"/>
      <c r="D161" s="352">
        <f>D$2</f>
        <v>2013</v>
      </c>
      <c r="E161" s="352">
        <f t="shared" ref="E161:M161" si="110">E$2</f>
        <v>2014</v>
      </c>
      <c r="F161" s="352">
        <f t="shared" si="110"/>
        <v>2015</v>
      </c>
      <c r="G161" s="352">
        <f t="shared" si="110"/>
        <v>2016</v>
      </c>
      <c r="H161" s="352">
        <f t="shared" si="110"/>
        <v>2017</v>
      </c>
      <c r="I161" s="351">
        <f t="shared" si="110"/>
        <v>2018</v>
      </c>
      <c r="J161" s="351">
        <f t="shared" si="110"/>
        <v>2019</v>
      </c>
      <c r="K161" s="351">
        <f t="shared" si="110"/>
        <v>2020</v>
      </c>
      <c r="L161" s="351">
        <f t="shared" si="110"/>
        <v>2021</v>
      </c>
      <c r="M161" s="351">
        <f t="shared" si="110"/>
        <v>2022</v>
      </c>
    </row>
    <row r="162" spans="1:13" hidden="1" outlineLevel="1" x14ac:dyDescent="0.35">
      <c r="A162" s="80" t="s">
        <v>105</v>
      </c>
      <c r="D162" s="40"/>
      <c r="E162" s="9"/>
      <c r="F162" s="9"/>
      <c r="G162" s="9"/>
      <c r="H162" s="9"/>
    </row>
    <row r="163" spans="1:13" hidden="1" outlineLevel="1" x14ac:dyDescent="0.35">
      <c r="A163" s="7" t="s">
        <v>27</v>
      </c>
      <c r="D163" s="168"/>
      <c r="E163" s="81"/>
      <c r="F163" s="81"/>
      <c r="G163" s="81"/>
      <c r="H163" s="81"/>
    </row>
    <row r="164" spans="1:13" hidden="1" outlineLevel="1" x14ac:dyDescent="0.35">
      <c r="A164" s="6" t="s">
        <v>6</v>
      </c>
      <c r="D164" s="123"/>
      <c r="E164" s="85">
        <f t="shared" ref="E164" si="111">E136</f>
        <v>5074.3568000000005</v>
      </c>
      <c r="F164" s="85">
        <f t="shared" ref="F164:M164" si="112">F136</f>
        <v>5451.6063999999997</v>
      </c>
      <c r="G164" s="85">
        <f t="shared" si="112"/>
        <v>5431.9887999999992</v>
      </c>
      <c r="H164" s="85">
        <f t="shared" si="112"/>
        <v>5210.8160000000007</v>
      </c>
      <c r="I164" s="6">
        <f t="shared" si="112"/>
        <v>5375.9661923691947</v>
      </c>
      <c r="J164" s="6">
        <f t="shared" si="112"/>
        <v>5547.7223924331502</v>
      </c>
      <c r="K164" s="6">
        <f t="shared" si="112"/>
        <v>5744.3694524073671</v>
      </c>
      <c r="L164" s="6">
        <f t="shared" si="112"/>
        <v>5948.3417764233263</v>
      </c>
      <c r="M164" s="6">
        <f t="shared" si="112"/>
        <v>6879.9269688591185</v>
      </c>
    </row>
    <row r="165" spans="1:13" hidden="1" outlineLevel="1" x14ac:dyDescent="0.35">
      <c r="A165" s="6" t="s">
        <v>28</v>
      </c>
      <c r="D165" s="123"/>
      <c r="E165" s="85">
        <f t="shared" ref="E165" si="113">E130</f>
        <v>947.67600000000004</v>
      </c>
      <c r="F165" s="85">
        <f t="shared" ref="F165:M165" si="114">F130</f>
        <v>972.65600000000006</v>
      </c>
      <c r="G165" s="85">
        <f t="shared" si="114"/>
        <v>1017.8879999999999</v>
      </c>
      <c r="H165" s="85">
        <f t="shared" si="114"/>
        <v>1031.7829999999999</v>
      </c>
      <c r="I165" s="6">
        <f t="shared" si="114"/>
        <v>1060.5141494629509</v>
      </c>
      <c r="J165" s="6">
        <f t="shared" si="114"/>
        <v>1090.3945449044199</v>
      </c>
      <c r="K165" s="6">
        <f t="shared" si="114"/>
        <v>1124.6051987978099</v>
      </c>
      <c r="L165" s="6">
        <f t="shared" si="114"/>
        <v>1160.0902275679075</v>
      </c>
      <c r="M165" s="6">
        <f t="shared" si="114"/>
        <v>1196.8996656969912</v>
      </c>
    </row>
    <row r="166" spans="1:13" hidden="1" outlineLevel="1" x14ac:dyDescent="0.35">
      <c r="A166" s="6" t="s">
        <v>32</v>
      </c>
      <c r="D166" s="168"/>
      <c r="E166" s="85">
        <f>E192</f>
        <v>182.11600000000021</v>
      </c>
      <c r="F166" s="85">
        <f t="shared" ref="F166:M166" si="115">F192</f>
        <v>-5.930000000000291</v>
      </c>
      <c r="G166" s="85">
        <f t="shared" si="115"/>
        <v>82.625999999999749</v>
      </c>
      <c r="H166" s="85">
        <f t="shared" si="115"/>
        <v>20.14200000000028</v>
      </c>
      <c r="I166" s="6">
        <f t="shared" si="115"/>
        <v>-29.640400790522108</v>
      </c>
      <c r="J166" s="6">
        <f t="shared" si="115"/>
        <v>62.78652586278713</v>
      </c>
      <c r="K166" s="6">
        <f t="shared" si="115"/>
        <v>65.429002307588235</v>
      </c>
      <c r="L166" s="6">
        <f t="shared" si="115"/>
        <v>81.01985546096239</v>
      </c>
      <c r="M166" s="6">
        <f t="shared" si="115"/>
        <v>77.346256799497951</v>
      </c>
    </row>
    <row r="167" spans="1:13" hidden="1" outlineLevel="1" x14ac:dyDescent="0.35">
      <c r="A167" s="31" t="s">
        <v>29</v>
      </c>
      <c r="B167" s="3"/>
      <c r="C167" s="55"/>
      <c r="D167" s="169"/>
      <c r="E167" s="86">
        <f t="shared" ref="E167" si="116">E164+E165-E166</f>
        <v>5839.9168000000009</v>
      </c>
      <c r="F167" s="86">
        <f t="shared" ref="F167:M167" si="117">F164+F165-F166</f>
        <v>6430.1923999999999</v>
      </c>
      <c r="G167" s="86">
        <f t="shared" si="117"/>
        <v>6367.2507999999998</v>
      </c>
      <c r="H167" s="86">
        <f t="shared" si="117"/>
        <v>6222.4570000000003</v>
      </c>
      <c r="I167" s="43">
        <f t="shared" si="117"/>
        <v>6466.1207426226674</v>
      </c>
      <c r="J167" s="43">
        <f t="shared" si="117"/>
        <v>6575.3304114747834</v>
      </c>
      <c r="K167" s="43">
        <f t="shared" si="117"/>
        <v>6803.5456488975888</v>
      </c>
      <c r="L167" s="43">
        <f t="shared" si="117"/>
        <v>7027.4121485302712</v>
      </c>
      <c r="M167" s="43">
        <f t="shared" si="117"/>
        <v>7999.4803777566121</v>
      </c>
    </row>
    <row r="168" spans="1:13" hidden="1" outlineLevel="1" x14ac:dyDescent="0.35">
      <c r="A168" s="39"/>
      <c r="B168" s="5"/>
      <c r="C168" s="33"/>
      <c r="D168" s="170"/>
      <c r="E168" s="87"/>
      <c r="F168" s="87"/>
      <c r="G168" s="87"/>
      <c r="H168" s="87"/>
      <c r="I168" s="39"/>
      <c r="J168" s="39"/>
      <c r="K168" s="39"/>
      <c r="L168" s="39"/>
      <c r="M168" s="39"/>
    </row>
    <row r="169" spans="1:13" hidden="1" outlineLevel="1" x14ac:dyDescent="0.35">
      <c r="A169" s="7" t="s">
        <v>33</v>
      </c>
      <c r="D169" s="171"/>
      <c r="E169" s="88"/>
      <c r="F169" s="88"/>
      <c r="G169" s="88"/>
      <c r="H169" s="88"/>
      <c r="I169" s="5"/>
      <c r="J169" s="5"/>
      <c r="K169" s="5"/>
      <c r="L169" s="5"/>
      <c r="M169" s="5"/>
    </row>
    <row r="170" spans="1:13" hidden="1" outlineLevel="1" x14ac:dyDescent="0.35">
      <c r="A170" s="6" t="s">
        <v>34</v>
      </c>
      <c r="D170" s="124"/>
      <c r="E170" s="89">
        <f t="shared" ref="E170:M170" si="118">-E196</f>
        <v>-947.67600000000004</v>
      </c>
      <c r="F170" s="89">
        <f t="shared" si="118"/>
        <v>-972.65600000000006</v>
      </c>
      <c r="G170" s="89">
        <f t="shared" si="118"/>
        <v>-1017.8879999999999</v>
      </c>
      <c r="H170" s="89">
        <f t="shared" si="118"/>
        <v>-1031.7829999999999</v>
      </c>
      <c r="I170" s="5">
        <f t="shared" si="118"/>
        <v>-1060.5141494629509</v>
      </c>
      <c r="J170" s="5">
        <f t="shared" si="118"/>
        <v>-1090.3945449044199</v>
      </c>
      <c r="K170" s="5">
        <f t="shared" si="118"/>
        <v>-1124.6051987978099</v>
      </c>
      <c r="L170" s="5">
        <f t="shared" si="118"/>
        <v>-1160.0902275679075</v>
      </c>
      <c r="M170" s="5">
        <f t="shared" si="118"/>
        <v>-1196.8996656969912</v>
      </c>
    </row>
    <row r="171" spans="1:13" hidden="1" outlineLevel="1" x14ac:dyDescent="0.35">
      <c r="A171" s="31" t="s">
        <v>35</v>
      </c>
      <c r="B171" s="3"/>
      <c r="C171" s="55"/>
      <c r="D171" s="169"/>
      <c r="E171" s="86">
        <f t="shared" ref="E171:H171" si="119">SUM(E170)</f>
        <v>-947.67600000000004</v>
      </c>
      <c r="F171" s="86">
        <f t="shared" si="119"/>
        <v>-972.65600000000006</v>
      </c>
      <c r="G171" s="86">
        <f t="shared" si="119"/>
        <v>-1017.8879999999999</v>
      </c>
      <c r="H171" s="86">
        <f t="shared" si="119"/>
        <v>-1031.7829999999999</v>
      </c>
      <c r="I171" s="31">
        <f t="shared" ref="I171:M171" si="120">I170</f>
        <v>-1060.5141494629509</v>
      </c>
      <c r="J171" s="31">
        <f t="shared" si="120"/>
        <v>-1090.3945449044199</v>
      </c>
      <c r="K171" s="31">
        <f t="shared" si="120"/>
        <v>-1124.6051987978099</v>
      </c>
      <c r="L171" s="31">
        <f t="shared" si="120"/>
        <v>-1160.0902275679075</v>
      </c>
      <c r="M171" s="31">
        <f t="shared" si="120"/>
        <v>-1196.8996656969912</v>
      </c>
    </row>
    <row r="172" spans="1:13" hidden="1" outlineLevel="1" x14ac:dyDescent="0.35">
      <c r="A172" s="39"/>
      <c r="B172" s="5"/>
      <c r="C172" s="33"/>
      <c r="D172" s="170"/>
      <c r="E172" s="87"/>
      <c r="F172" s="87"/>
      <c r="G172" s="87"/>
      <c r="H172" s="87"/>
      <c r="I172" s="39"/>
      <c r="J172" s="39"/>
      <c r="K172" s="39"/>
      <c r="L172" s="39"/>
      <c r="M172" s="39"/>
    </row>
    <row r="173" spans="1:13" hidden="1" outlineLevel="1" x14ac:dyDescent="0.35">
      <c r="A173" s="7" t="s">
        <v>36</v>
      </c>
      <c r="D173" s="171"/>
      <c r="E173" s="88"/>
      <c r="F173" s="88"/>
      <c r="G173" s="88"/>
      <c r="H173" s="88"/>
      <c r="I173" s="5"/>
      <c r="J173" s="5"/>
      <c r="K173" s="5"/>
      <c r="L173" s="5"/>
      <c r="M173" s="5"/>
    </row>
    <row r="174" spans="1:13" hidden="1" outlineLevel="1" x14ac:dyDescent="0.35">
      <c r="A174" s="6" t="s">
        <v>37</v>
      </c>
      <c r="D174" s="124"/>
      <c r="E174" s="89">
        <f t="shared" ref="E174:M174" si="121">E116</f>
        <v>0</v>
      </c>
      <c r="F174" s="89">
        <f t="shared" si="121"/>
        <v>0</v>
      </c>
      <c r="G174" s="89">
        <f t="shared" si="121"/>
        <v>0</v>
      </c>
      <c r="H174" s="89">
        <f t="shared" si="121"/>
        <v>0</v>
      </c>
      <c r="I174" s="5">
        <f t="shared" si="121"/>
        <v>0</v>
      </c>
      <c r="J174" s="5">
        <f t="shared" si="121"/>
        <v>0</v>
      </c>
      <c r="K174" s="5">
        <f t="shared" si="121"/>
        <v>0</v>
      </c>
      <c r="L174" s="5">
        <f t="shared" si="121"/>
        <v>-18000</v>
      </c>
      <c r="M174" s="5">
        <f t="shared" si="121"/>
        <v>0</v>
      </c>
    </row>
    <row r="175" spans="1:13" hidden="1" outlineLevel="1" x14ac:dyDescent="0.35">
      <c r="A175" s="6" t="s">
        <v>38</v>
      </c>
      <c r="D175" s="171"/>
      <c r="E175" s="89">
        <f t="shared" ref="E175:M175" si="122">E117</f>
        <v>0</v>
      </c>
      <c r="F175" s="89">
        <f t="shared" si="122"/>
        <v>0</v>
      </c>
      <c r="G175" s="89">
        <f t="shared" si="122"/>
        <v>0</v>
      </c>
      <c r="H175" s="89">
        <f t="shared" si="122"/>
        <v>0</v>
      </c>
      <c r="I175" s="5">
        <f t="shared" si="122"/>
        <v>0</v>
      </c>
      <c r="J175" s="5">
        <f t="shared" si="122"/>
        <v>0</v>
      </c>
      <c r="K175" s="5">
        <f t="shared" si="122"/>
        <v>0</v>
      </c>
      <c r="L175" s="5">
        <f t="shared" si="122"/>
        <v>0</v>
      </c>
      <c r="M175" s="5">
        <f t="shared" si="122"/>
        <v>0</v>
      </c>
    </row>
    <row r="176" spans="1:13" hidden="1" outlineLevel="1" x14ac:dyDescent="0.35">
      <c r="A176" s="6" t="s">
        <v>111</v>
      </c>
      <c r="D176" s="171"/>
      <c r="E176" s="89">
        <f t="shared" ref="E176:M176" si="123">E118</f>
        <v>-5000</v>
      </c>
      <c r="F176" s="89">
        <f t="shared" si="123"/>
        <v>-5000</v>
      </c>
      <c r="G176" s="89">
        <f t="shared" si="123"/>
        <v>-5000.0000000000009</v>
      </c>
      <c r="H176" s="89">
        <f t="shared" si="123"/>
        <v>-5000.0000000000009</v>
      </c>
      <c r="I176" s="5">
        <f t="shared" si="123"/>
        <v>-5000.0000000000009</v>
      </c>
      <c r="J176" s="5">
        <f t="shared" si="123"/>
        <v>0</v>
      </c>
      <c r="K176" s="5">
        <f t="shared" si="123"/>
        <v>0</v>
      </c>
      <c r="L176" s="5">
        <f t="shared" si="123"/>
        <v>0</v>
      </c>
      <c r="M176" s="5">
        <f t="shared" si="123"/>
        <v>-5000.0000000000009</v>
      </c>
    </row>
    <row r="177" spans="1:13" hidden="1" outlineLevel="1" x14ac:dyDescent="0.35">
      <c r="A177" s="31" t="s">
        <v>39</v>
      </c>
      <c r="B177" s="3"/>
      <c r="C177" s="55"/>
      <c r="D177" s="169"/>
      <c r="E177" s="86">
        <f t="shared" ref="E177:M177" si="124">SUM(E174:E176)</f>
        <v>-5000</v>
      </c>
      <c r="F177" s="86">
        <f t="shared" si="124"/>
        <v>-5000</v>
      </c>
      <c r="G177" s="86">
        <f t="shared" si="124"/>
        <v>-5000.0000000000009</v>
      </c>
      <c r="H177" s="86">
        <f t="shared" si="124"/>
        <v>-5000.0000000000009</v>
      </c>
      <c r="I177" s="43">
        <f t="shared" si="124"/>
        <v>-5000.0000000000009</v>
      </c>
      <c r="J177" s="43">
        <f t="shared" si="124"/>
        <v>0</v>
      </c>
      <c r="K177" s="43">
        <f t="shared" si="124"/>
        <v>0</v>
      </c>
      <c r="L177" s="43">
        <f t="shared" si="124"/>
        <v>-18000</v>
      </c>
      <c r="M177" s="43">
        <f t="shared" si="124"/>
        <v>-5000.0000000000009</v>
      </c>
    </row>
    <row r="178" spans="1:13" hidden="1" outlineLevel="1" x14ac:dyDescent="0.35">
      <c r="A178" s="39"/>
      <c r="B178" s="5"/>
      <c r="C178" s="33"/>
      <c r="D178" s="170"/>
      <c r="E178" s="87"/>
      <c r="F178" s="87"/>
      <c r="G178" s="87"/>
      <c r="H178" s="87"/>
      <c r="I178" s="39"/>
      <c r="J178" s="39"/>
      <c r="K178" s="39"/>
      <c r="L178" s="39"/>
      <c r="M178" s="39"/>
    </row>
    <row r="179" spans="1:13" hidden="1" outlineLevel="1" x14ac:dyDescent="0.35">
      <c r="A179" s="6" t="s">
        <v>40</v>
      </c>
      <c r="D179" s="172"/>
      <c r="E179" s="90">
        <f>E167+E171+E177</f>
        <v>-107.75919999999951</v>
      </c>
      <c r="F179" s="90">
        <f t="shared" ref="F179:M179" si="125">F167+F171+F177</f>
        <v>457.53639999999996</v>
      </c>
      <c r="G179" s="90">
        <f t="shared" si="125"/>
        <v>349.36279999999897</v>
      </c>
      <c r="H179" s="90">
        <f t="shared" si="125"/>
        <v>190.67399999999998</v>
      </c>
      <c r="I179" s="56">
        <f t="shared" si="125"/>
        <v>405.60659315971589</v>
      </c>
      <c r="J179" s="56">
        <f t="shared" si="125"/>
        <v>5484.9358665703639</v>
      </c>
      <c r="K179" s="56">
        <f t="shared" si="125"/>
        <v>5678.9404500997789</v>
      </c>
      <c r="L179" s="56">
        <f t="shared" si="125"/>
        <v>-12132.678079037636</v>
      </c>
      <c r="M179" s="56">
        <f t="shared" si="125"/>
        <v>1802.5807120596201</v>
      </c>
    </row>
    <row r="180" spans="1:13" hidden="1" outlineLevel="1" x14ac:dyDescent="0.35">
      <c r="A180" s="6" t="s">
        <v>41</v>
      </c>
      <c r="D180" s="171"/>
      <c r="E180" s="89">
        <f>D142</f>
        <v>303.22000000000003</v>
      </c>
      <c r="F180" s="89">
        <f>E181</f>
        <v>195.46080000000052</v>
      </c>
      <c r="G180" s="89">
        <f t="shared" ref="G180:H180" si="126">F181</f>
        <v>652.99720000000048</v>
      </c>
      <c r="H180" s="89">
        <f t="shared" si="126"/>
        <v>1002.3599999999994</v>
      </c>
      <c r="I180" s="5">
        <f t="shared" ref="I180:M180" si="127">H181</f>
        <v>1193.0339999999994</v>
      </c>
      <c r="J180" s="5">
        <f t="shared" si="127"/>
        <v>1598.6405931597153</v>
      </c>
      <c r="K180" s="5">
        <f t="shared" si="127"/>
        <v>7083.5764597300795</v>
      </c>
      <c r="L180" s="5">
        <f t="shared" si="127"/>
        <v>12762.516909829857</v>
      </c>
      <c r="M180" s="5">
        <f t="shared" si="127"/>
        <v>629.83883079222142</v>
      </c>
    </row>
    <row r="181" spans="1:13" hidden="1" outlineLevel="1" x14ac:dyDescent="0.35">
      <c r="A181" s="31" t="s">
        <v>42</v>
      </c>
      <c r="B181" s="3"/>
      <c r="C181" s="55"/>
      <c r="D181" s="169">
        <f>D142</f>
        <v>303.22000000000003</v>
      </c>
      <c r="E181" s="86">
        <f t="shared" ref="E181:M181" si="128">SUM(E179:E180)</f>
        <v>195.46080000000052</v>
      </c>
      <c r="F181" s="86">
        <f t="shared" si="128"/>
        <v>652.99720000000048</v>
      </c>
      <c r="G181" s="86">
        <f t="shared" si="128"/>
        <v>1002.3599999999994</v>
      </c>
      <c r="H181" s="86">
        <f t="shared" si="128"/>
        <v>1193.0339999999994</v>
      </c>
      <c r="I181" s="43">
        <f t="shared" si="128"/>
        <v>1598.6405931597153</v>
      </c>
      <c r="J181" s="43">
        <f t="shared" si="128"/>
        <v>7083.5764597300795</v>
      </c>
      <c r="K181" s="43">
        <f t="shared" si="128"/>
        <v>12762.516909829857</v>
      </c>
      <c r="L181" s="43">
        <f t="shared" si="128"/>
        <v>629.83883079222142</v>
      </c>
      <c r="M181" s="43">
        <f t="shared" si="128"/>
        <v>2432.4195428518415</v>
      </c>
    </row>
    <row r="182" spans="1:13" hidden="1" outlineLevel="1" x14ac:dyDescent="0.35">
      <c r="A182" s="7"/>
      <c r="D182" s="170"/>
      <c r="E182" s="81"/>
      <c r="F182" s="81"/>
      <c r="G182" s="81"/>
      <c r="H182" s="81"/>
    </row>
    <row r="183" spans="1:13" s="52" customFormat="1" hidden="1" outlineLevel="1" x14ac:dyDescent="0.35">
      <c r="C183" s="83"/>
      <c r="D183" s="36"/>
      <c r="E183" s="84"/>
      <c r="F183" s="84"/>
      <c r="G183" s="84"/>
      <c r="H183" s="84"/>
    </row>
    <row r="184" spans="1:13" collapsed="1" x14ac:dyDescent="0.35">
      <c r="D184" s="9"/>
      <c r="E184" s="9"/>
      <c r="F184" s="9"/>
      <c r="G184" s="9"/>
      <c r="H184" s="9"/>
    </row>
    <row r="185" spans="1:13" ht="20" x14ac:dyDescent="0.4">
      <c r="A185" s="350" t="s">
        <v>45</v>
      </c>
      <c r="B185" s="350"/>
      <c r="C185" s="350"/>
      <c r="D185" s="352">
        <f>D$2</f>
        <v>2013</v>
      </c>
      <c r="E185" s="352">
        <f t="shared" ref="E185:M185" si="129">E$2</f>
        <v>2014</v>
      </c>
      <c r="F185" s="352">
        <f t="shared" si="129"/>
        <v>2015</v>
      </c>
      <c r="G185" s="352">
        <f t="shared" si="129"/>
        <v>2016</v>
      </c>
      <c r="H185" s="352">
        <f t="shared" si="129"/>
        <v>2017</v>
      </c>
      <c r="I185" s="351">
        <f t="shared" si="129"/>
        <v>2018</v>
      </c>
      <c r="J185" s="351">
        <f t="shared" si="129"/>
        <v>2019</v>
      </c>
      <c r="K185" s="351">
        <f t="shared" si="129"/>
        <v>2020</v>
      </c>
      <c r="L185" s="351">
        <f t="shared" si="129"/>
        <v>2021</v>
      </c>
      <c r="M185" s="351">
        <f t="shared" si="129"/>
        <v>2022</v>
      </c>
    </row>
    <row r="186" spans="1:13" hidden="1" outlineLevel="1" x14ac:dyDescent="0.35">
      <c r="D186" s="9"/>
      <c r="E186" s="9"/>
      <c r="F186" s="9"/>
      <c r="G186" s="9"/>
      <c r="H186" s="9"/>
    </row>
    <row r="187" spans="1:13" hidden="1" outlineLevel="1" x14ac:dyDescent="0.35">
      <c r="A187" s="7" t="s">
        <v>46</v>
      </c>
      <c r="D187" s="81"/>
      <c r="E187" s="81"/>
      <c r="F187" s="81"/>
      <c r="G187" s="81"/>
      <c r="H187" s="81"/>
    </row>
    <row r="188" spans="1:13" hidden="1" outlineLevel="1" x14ac:dyDescent="0.35">
      <c r="A188" s="6" t="s">
        <v>10</v>
      </c>
      <c r="D188" s="85">
        <f>D143</f>
        <v>1616.4300000000003</v>
      </c>
      <c r="E188" s="85">
        <f t="shared" ref="E188:M188" si="130">E143</f>
        <v>1757.1210000000001</v>
      </c>
      <c r="F188" s="85">
        <f t="shared" si="130"/>
        <v>1801.7</v>
      </c>
      <c r="G188" s="85">
        <f t="shared" si="130"/>
        <v>1862.4409999999998</v>
      </c>
      <c r="H188" s="85">
        <f t="shared" si="130"/>
        <v>1841.6899999999998</v>
      </c>
      <c r="I188" s="6">
        <f t="shared" si="130"/>
        <v>1862.5464305521305</v>
      </c>
      <c r="J188" s="6">
        <f t="shared" si="130"/>
        <v>1915.0243950386741</v>
      </c>
      <c r="K188" s="6">
        <f t="shared" si="130"/>
        <v>1969.7109828424216</v>
      </c>
      <c r="L188" s="6">
        <f t="shared" si="130"/>
        <v>2037.4286505929356</v>
      </c>
      <c r="M188" s="6">
        <f t="shared" si="130"/>
        <v>2102.075866882009</v>
      </c>
    </row>
    <row r="189" spans="1:13" hidden="1" outlineLevel="1" x14ac:dyDescent="0.35">
      <c r="A189" s="6" t="s">
        <v>14</v>
      </c>
      <c r="D189" s="85">
        <f>D144</f>
        <v>983.02099999999996</v>
      </c>
      <c r="E189" s="85">
        <f t="shared" ref="E189:M189" si="131">E144</f>
        <v>1069.3</v>
      </c>
      <c r="F189" s="85">
        <f t="shared" si="131"/>
        <v>1096.0990000000002</v>
      </c>
      <c r="G189" s="85">
        <f t="shared" si="131"/>
        <v>1132.991</v>
      </c>
      <c r="H189" s="85">
        <f t="shared" si="131"/>
        <v>1120.865</v>
      </c>
      <c r="I189" s="6">
        <f t="shared" si="131"/>
        <v>1149.8808157802341</v>
      </c>
      <c r="J189" s="6">
        <f t="shared" si="131"/>
        <v>1182.2791515341435</v>
      </c>
      <c r="K189" s="6">
        <f t="shared" si="131"/>
        <v>1216.0410256890711</v>
      </c>
      <c r="L189" s="6">
        <f t="shared" si="131"/>
        <v>1257.8479013504809</v>
      </c>
      <c r="M189" s="6">
        <f t="shared" si="131"/>
        <v>1297.7591715261001</v>
      </c>
    </row>
    <row r="190" spans="1:13" hidden="1" outlineLevel="1" x14ac:dyDescent="0.35">
      <c r="A190" s="6" t="s">
        <v>17</v>
      </c>
      <c r="D190" s="85">
        <f>D149</f>
        <v>620.34699999999998</v>
      </c>
      <c r="E190" s="85">
        <f t="shared" ref="E190:M190" si="132">E149</f>
        <v>665.20099999999991</v>
      </c>
      <c r="F190" s="85">
        <f t="shared" si="132"/>
        <v>742.50900000000001</v>
      </c>
      <c r="G190" s="85">
        <f t="shared" si="132"/>
        <v>757.51599999999996</v>
      </c>
      <c r="H190" s="85">
        <f t="shared" si="132"/>
        <v>704.49699999999996</v>
      </c>
      <c r="I190" s="6">
        <f t="shared" si="132"/>
        <v>784.0096471228868</v>
      </c>
      <c r="J190" s="6">
        <f t="shared" si="132"/>
        <v>806.09942150055235</v>
      </c>
      <c r="K190" s="6">
        <f t="shared" si="132"/>
        <v>829.11888115163936</v>
      </c>
      <c r="L190" s="6">
        <f t="shared" si="132"/>
        <v>857.62356910260064</v>
      </c>
      <c r="M190" s="6">
        <f t="shared" si="132"/>
        <v>884.83579876779538</v>
      </c>
    </row>
    <row r="191" spans="1:13" hidden="1" outlineLevel="1" x14ac:dyDescent="0.35">
      <c r="A191" s="3" t="s">
        <v>31</v>
      </c>
      <c r="B191" s="3"/>
      <c r="C191" s="55"/>
      <c r="D191" s="174">
        <f>D188+D189-D190</f>
        <v>1979.104</v>
      </c>
      <c r="E191" s="174">
        <f t="shared" ref="E191:M191" si="133">E188+E189-E190</f>
        <v>2161.2200000000003</v>
      </c>
      <c r="F191" s="174">
        <f t="shared" si="133"/>
        <v>2155.29</v>
      </c>
      <c r="G191" s="174">
        <f t="shared" si="133"/>
        <v>2237.9159999999997</v>
      </c>
      <c r="H191" s="174">
        <f t="shared" si="133"/>
        <v>2258.058</v>
      </c>
      <c r="I191" s="57">
        <f t="shared" si="133"/>
        <v>2228.4175992094779</v>
      </c>
      <c r="J191" s="57">
        <f t="shared" si="133"/>
        <v>2291.204125072265</v>
      </c>
      <c r="K191" s="57">
        <f t="shared" si="133"/>
        <v>2356.6331273798532</v>
      </c>
      <c r="L191" s="57">
        <f t="shared" si="133"/>
        <v>2437.6529828408156</v>
      </c>
      <c r="M191" s="57">
        <f t="shared" si="133"/>
        <v>2514.9992396403136</v>
      </c>
    </row>
    <row r="192" spans="1:13" hidden="1" outlineLevel="1" x14ac:dyDescent="0.35">
      <c r="A192" s="6" t="s">
        <v>30</v>
      </c>
      <c r="D192" s="175"/>
      <c r="E192" s="175">
        <f t="shared" ref="E192" si="134">E191-D191</f>
        <v>182.11600000000021</v>
      </c>
      <c r="F192" s="175">
        <f t="shared" ref="F192" si="135">F191-E191</f>
        <v>-5.930000000000291</v>
      </c>
      <c r="G192" s="175">
        <f t="shared" ref="G192" si="136">G191-F191</f>
        <v>82.625999999999749</v>
      </c>
      <c r="H192" s="175">
        <f t="shared" ref="H192" si="137">H191-G191</f>
        <v>20.14200000000028</v>
      </c>
      <c r="I192" s="22">
        <f t="shared" ref="I192" si="138">I191-H191</f>
        <v>-29.640400790522108</v>
      </c>
      <c r="J192" s="22">
        <f t="shared" ref="J192" si="139">J191-I191</f>
        <v>62.78652586278713</v>
      </c>
      <c r="K192" s="22">
        <f t="shared" ref="K192" si="140">K191-J191</f>
        <v>65.429002307588235</v>
      </c>
      <c r="L192" s="22">
        <f t="shared" ref="L192" si="141">L191-K191</f>
        <v>81.01985546096239</v>
      </c>
      <c r="M192" s="22">
        <f t="shared" ref="M192" si="142">M191-L191</f>
        <v>77.346256799497951</v>
      </c>
    </row>
    <row r="193" spans="1:13" hidden="1" outlineLevel="1" x14ac:dyDescent="0.35">
      <c r="D193" s="81"/>
      <c r="E193" s="81"/>
      <c r="F193" s="81"/>
      <c r="G193" s="81"/>
      <c r="H193" s="81"/>
      <c r="I193" s="66"/>
      <c r="J193" s="66"/>
      <c r="K193" s="66"/>
      <c r="L193" s="66"/>
      <c r="M193" s="66"/>
    </row>
    <row r="194" spans="1:13" hidden="1" outlineLevel="1" x14ac:dyDescent="0.35">
      <c r="A194" s="7" t="s">
        <v>47</v>
      </c>
      <c r="D194" s="81"/>
      <c r="E194" s="81"/>
      <c r="F194" s="81"/>
      <c r="G194" s="81"/>
      <c r="H194" s="81"/>
      <c r="I194" s="66"/>
      <c r="J194" s="66"/>
      <c r="K194" s="66"/>
      <c r="L194" s="66"/>
      <c r="M194" s="66"/>
    </row>
    <row r="195" spans="1:13" hidden="1" outlineLevel="1" x14ac:dyDescent="0.35">
      <c r="A195" s="6" t="s">
        <v>100</v>
      </c>
      <c r="D195" s="85">
        <f>D198+D197-D196</f>
        <v>21220.786</v>
      </c>
      <c r="E195" s="85">
        <f>D198</f>
        <v>21220.786</v>
      </c>
      <c r="F195" s="85">
        <f t="shared" ref="F195:H195" si="143">E198</f>
        <v>21220.786</v>
      </c>
      <c r="G195" s="85">
        <f t="shared" si="143"/>
        <v>21220.786</v>
      </c>
      <c r="H195" s="85">
        <f t="shared" si="143"/>
        <v>21220.786</v>
      </c>
      <c r="I195" s="66">
        <f t="shared" ref="I195:M195" si="144">H198</f>
        <v>21220.786</v>
      </c>
      <c r="J195" s="66">
        <f t="shared" si="144"/>
        <v>21220.786</v>
      </c>
      <c r="K195" s="66">
        <f t="shared" si="144"/>
        <v>21220.786</v>
      </c>
      <c r="L195" s="66">
        <f t="shared" si="144"/>
        <v>21220.786</v>
      </c>
      <c r="M195" s="66">
        <f t="shared" si="144"/>
        <v>21220.786</v>
      </c>
    </row>
    <row r="196" spans="1:13" hidden="1" outlineLevel="1" x14ac:dyDescent="0.35">
      <c r="A196" s="6" t="s">
        <v>12</v>
      </c>
      <c r="D196" s="85">
        <f>D130</f>
        <v>931.12</v>
      </c>
      <c r="E196" s="85">
        <f t="shared" ref="E196:M196" si="145">E130</f>
        <v>947.67600000000004</v>
      </c>
      <c r="F196" s="85">
        <f t="shared" si="145"/>
        <v>972.65600000000006</v>
      </c>
      <c r="G196" s="85">
        <f t="shared" si="145"/>
        <v>1017.8879999999999</v>
      </c>
      <c r="H196" s="85">
        <f t="shared" si="145"/>
        <v>1031.7829999999999</v>
      </c>
      <c r="I196" s="6">
        <f t="shared" si="145"/>
        <v>1060.5141494629509</v>
      </c>
      <c r="J196" s="6">
        <f t="shared" si="145"/>
        <v>1090.3945449044199</v>
      </c>
      <c r="K196" s="6">
        <f t="shared" si="145"/>
        <v>1124.6051987978099</v>
      </c>
      <c r="L196" s="6">
        <f t="shared" si="145"/>
        <v>1160.0902275679075</v>
      </c>
      <c r="M196" s="6">
        <f t="shared" si="145"/>
        <v>1196.8996656969912</v>
      </c>
    </row>
    <row r="197" spans="1:13" hidden="1" outlineLevel="1" x14ac:dyDescent="0.35">
      <c r="A197" s="6" t="s">
        <v>13</v>
      </c>
      <c r="C197" s="49"/>
      <c r="D197" s="85">
        <f t="shared" ref="D197:H197" si="146">D108*D101</f>
        <v>931.12</v>
      </c>
      <c r="E197" s="85">
        <f t="shared" si="146"/>
        <v>947.67600000000004</v>
      </c>
      <c r="F197" s="85">
        <f t="shared" si="146"/>
        <v>972.65600000000006</v>
      </c>
      <c r="G197" s="85">
        <f t="shared" si="146"/>
        <v>1017.8879999999999</v>
      </c>
      <c r="H197" s="85">
        <f t="shared" si="146"/>
        <v>1031.7829999999999</v>
      </c>
      <c r="I197" s="6">
        <f>I109*(I94+I96)</f>
        <v>1060.5141494629509</v>
      </c>
      <c r="J197" s="6">
        <f t="shared" ref="J197:M197" si="147">J109*(J94+J96)</f>
        <v>1090.3945449044199</v>
      </c>
      <c r="K197" s="6">
        <f t="shared" si="147"/>
        <v>1124.6051987978099</v>
      </c>
      <c r="L197" s="6">
        <f t="shared" si="147"/>
        <v>1160.0902275679075</v>
      </c>
      <c r="M197" s="6">
        <f t="shared" si="147"/>
        <v>1196.8996656969912</v>
      </c>
    </row>
    <row r="198" spans="1:13" hidden="1" outlineLevel="1" x14ac:dyDescent="0.35">
      <c r="A198" s="3" t="s">
        <v>101</v>
      </c>
      <c r="B198" s="3"/>
      <c r="C198" s="55"/>
      <c r="D198" s="63">
        <f>D145</f>
        <v>21220.786</v>
      </c>
      <c r="E198" s="174">
        <f t="shared" ref="E198:M198" si="148">E195+E196-E197</f>
        <v>21220.786</v>
      </c>
      <c r="F198" s="174">
        <f t="shared" si="148"/>
        <v>21220.786</v>
      </c>
      <c r="G198" s="174">
        <f t="shared" si="148"/>
        <v>21220.786</v>
      </c>
      <c r="H198" s="174">
        <f t="shared" si="148"/>
        <v>21220.786</v>
      </c>
      <c r="I198" s="67">
        <f t="shared" si="148"/>
        <v>21220.786</v>
      </c>
      <c r="J198" s="67">
        <f t="shared" si="148"/>
        <v>21220.786</v>
      </c>
      <c r="K198" s="67">
        <f t="shared" si="148"/>
        <v>21220.786</v>
      </c>
      <c r="L198" s="67">
        <f t="shared" si="148"/>
        <v>21220.786</v>
      </c>
      <c r="M198" s="67">
        <f t="shared" si="148"/>
        <v>21220.786</v>
      </c>
    </row>
    <row r="199" spans="1:13" hidden="1" outlineLevel="1" x14ac:dyDescent="0.35">
      <c r="D199" s="81"/>
      <c r="E199" s="81"/>
      <c r="F199" s="81"/>
      <c r="G199" s="81"/>
      <c r="H199" s="81"/>
      <c r="I199" s="66"/>
      <c r="J199" s="66"/>
      <c r="K199" s="66"/>
      <c r="L199" s="66"/>
      <c r="M199" s="66"/>
    </row>
    <row r="200" spans="1:13" hidden="1" outlineLevel="1" x14ac:dyDescent="0.35">
      <c r="A200" s="7" t="s">
        <v>48</v>
      </c>
      <c r="D200" s="81"/>
      <c r="E200" s="81"/>
      <c r="F200" s="81"/>
      <c r="G200" s="81"/>
      <c r="H200" s="81"/>
      <c r="I200" s="66"/>
      <c r="J200" s="66"/>
      <c r="K200" s="66"/>
      <c r="L200" s="66"/>
      <c r="M200" s="66"/>
    </row>
    <row r="201" spans="1:13" hidden="1" outlineLevel="1" x14ac:dyDescent="0.35">
      <c r="A201" s="6" t="s">
        <v>18</v>
      </c>
      <c r="D201" s="81">
        <v>18000</v>
      </c>
      <c r="E201" s="85">
        <f>D203</f>
        <v>18000</v>
      </c>
      <c r="F201" s="85">
        <f t="shared" ref="F201:H201" si="149">E203</f>
        <v>18000</v>
      </c>
      <c r="G201" s="85">
        <f t="shared" si="149"/>
        <v>18000</v>
      </c>
      <c r="H201" s="85">
        <f t="shared" si="149"/>
        <v>18000</v>
      </c>
      <c r="I201" s="66">
        <f t="shared" ref="I201:M201" si="150">H203</f>
        <v>18000</v>
      </c>
      <c r="J201" s="66">
        <f t="shared" si="150"/>
        <v>18000</v>
      </c>
      <c r="K201" s="66">
        <f t="shared" si="150"/>
        <v>18000</v>
      </c>
      <c r="L201" s="66">
        <f t="shared" si="150"/>
        <v>18000</v>
      </c>
      <c r="M201" s="66">
        <f t="shared" si="150"/>
        <v>0</v>
      </c>
    </row>
    <row r="202" spans="1:13" hidden="1" outlineLevel="1" x14ac:dyDescent="0.35">
      <c r="A202" s="6" t="s">
        <v>19</v>
      </c>
      <c r="D202" s="85">
        <f t="shared" ref="D202:M202" si="151">D116</f>
        <v>0</v>
      </c>
      <c r="E202" s="85">
        <f t="shared" si="151"/>
        <v>0</v>
      </c>
      <c r="F202" s="85">
        <f t="shared" si="151"/>
        <v>0</v>
      </c>
      <c r="G202" s="85">
        <f t="shared" si="151"/>
        <v>0</v>
      </c>
      <c r="H202" s="85">
        <f t="shared" si="151"/>
        <v>0</v>
      </c>
      <c r="I202" s="6">
        <f t="shared" si="151"/>
        <v>0</v>
      </c>
      <c r="J202" s="6">
        <f t="shared" si="151"/>
        <v>0</v>
      </c>
      <c r="K202" s="6">
        <f t="shared" si="151"/>
        <v>0</v>
      </c>
      <c r="L202" s="6">
        <f t="shared" si="151"/>
        <v>-18000</v>
      </c>
      <c r="M202" s="6">
        <f t="shared" si="151"/>
        <v>0</v>
      </c>
    </row>
    <row r="203" spans="1:13" hidden="1" outlineLevel="1" x14ac:dyDescent="0.35">
      <c r="A203" s="3" t="s">
        <v>20</v>
      </c>
      <c r="B203" s="3"/>
      <c r="C203" s="55"/>
      <c r="D203" s="174">
        <f>SUM(D201:D202)</f>
        <v>18000</v>
      </c>
      <c r="E203" s="174">
        <f t="shared" ref="E203:H203" si="152">SUM(E201:E202)</f>
        <v>18000</v>
      </c>
      <c r="F203" s="174">
        <f t="shared" si="152"/>
        <v>18000</v>
      </c>
      <c r="G203" s="174">
        <f t="shared" si="152"/>
        <v>18000</v>
      </c>
      <c r="H203" s="174">
        <f t="shared" si="152"/>
        <v>18000</v>
      </c>
      <c r="I203" s="69">
        <f t="shared" ref="I203:M203" si="153">SUM(I201:I202)</f>
        <v>18000</v>
      </c>
      <c r="J203" s="69">
        <f t="shared" si="153"/>
        <v>18000</v>
      </c>
      <c r="K203" s="69">
        <f t="shared" si="153"/>
        <v>18000</v>
      </c>
      <c r="L203" s="69">
        <f t="shared" si="153"/>
        <v>0</v>
      </c>
      <c r="M203" s="69">
        <f t="shared" si="153"/>
        <v>0</v>
      </c>
    </row>
    <row r="204" spans="1:13" hidden="1" outlineLevel="1" x14ac:dyDescent="0.35">
      <c r="A204" s="6" t="s">
        <v>21</v>
      </c>
      <c r="C204" s="49"/>
      <c r="D204" s="85">
        <f t="shared" ref="D204:M204" si="154">D201*D110</f>
        <v>900</v>
      </c>
      <c r="E204" s="85">
        <f t="shared" si="154"/>
        <v>900</v>
      </c>
      <c r="F204" s="85">
        <f t="shared" si="154"/>
        <v>900</v>
      </c>
      <c r="G204" s="85">
        <f t="shared" si="154"/>
        <v>900</v>
      </c>
      <c r="H204" s="85">
        <f t="shared" si="154"/>
        <v>900</v>
      </c>
      <c r="I204" s="6">
        <f t="shared" si="154"/>
        <v>900</v>
      </c>
      <c r="J204" s="6">
        <f t="shared" si="154"/>
        <v>900</v>
      </c>
      <c r="K204" s="6">
        <f t="shared" si="154"/>
        <v>900</v>
      </c>
      <c r="L204" s="6">
        <f t="shared" si="154"/>
        <v>900</v>
      </c>
      <c r="M204" s="6">
        <f t="shared" si="154"/>
        <v>0</v>
      </c>
    </row>
    <row r="205" spans="1:13" hidden="1" outlineLevel="1" x14ac:dyDescent="0.35">
      <c r="D205" s="81"/>
      <c r="E205" s="81"/>
      <c r="F205" s="81"/>
      <c r="G205" s="81"/>
      <c r="H205" s="81"/>
    </row>
    <row r="206" spans="1:13" hidden="1" outlineLevel="1" x14ac:dyDescent="0.35">
      <c r="A206" s="7" t="s">
        <v>107</v>
      </c>
      <c r="D206" s="81"/>
      <c r="E206" s="81"/>
      <c r="F206" s="81"/>
      <c r="G206" s="81"/>
      <c r="H206" s="81"/>
      <c r="I206" s="66"/>
      <c r="J206" s="66"/>
      <c r="K206" s="66"/>
      <c r="L206" s="66"/>
      <c r="M206" s="66"/>
    </row>
    <row r="207" spans="1:13" hidden="1" outlineLevel="1" x14ac:dyDescent="0.35">
      <c r="A207" s="6" t="s">
        <v>108</v>
      </c>
      <c r="D207" s="168"/>
      <c r="E207" s="85">
        <f>D210</f>
        <v>5502.11</v>
      </c>
      <c r="F207" s="85">
        <f t="shared" ref="F207:M207" si="155">E210</f>
        <v>5576.4668000000001</v>
      </c>
      <c r="G207" s="85">
        <f t="shared" si="155"/>
        <v>6028.0731999999989</v>
      </c>
      <c r="H207" s="85">
        <f t="shared" si="155"/>
        <v>6460.0619999999972</v>
      </c>
      <c r="I207" s="6">
        <f t="shared" si="155"/>
        <v>6670.8779999999961</v>
      </c>
      <c r="J207" s="6">
        <f t="shared" si="155"/>
        <v>7046.8441923691889</v>
      </c>
      <c r="K207" s="6">
        <f t="shared" si="155"/>
        <v>12594.566584802338</v>
      </c>
      <c r="L207" s="6">
        <f t="shared" si="155"/>
        <v>18338.936037209707</v>
      </c>
      <c r="M207" s="6">
        <f t="shared" si="155"/>
        <v>24287.277813633034</v>
      </c>
    </row>
    <row r="208" spans="1:13" hidden="1" outlineLevel="1" x14ac:dyDescent="0.35">
      <c r="A208" s="6" t="s">
        <v>6</v>
      </c>
      <c r="D208" s="168"/>
      <c r="E208" s="85">
        <f>E136</f>
        <v>5074.3568000000005</v>
      </c>
      <c r="F208" s="85">
        <f t="shared" ref="F208:M208" si="156">F136</f>
        <v>5451.6063999999997</v>
      </c>
      <c r="G208" s="85">
        <f t="shared" si="156"/>
        <v>5431.9887999999992</v>
      </c>
      <c r="H208" s="85">
        <f t="shared" si="156"/>
        <v>5210.8160000000007</v>
      </c>
      <c r="I208" s="6">
        <f t="shared" si="156"/>
        <v>5375.9661923691947</v>
      </c>
      <c r="J208" s="6">
        <f t="shared" si="156"/>
        <v>5547.7223924331502</v>
      </c>
      <c r="K208" s="6">
        <f t="shared" si="156"/>
        <v>5744.3694524073671</v>
      </c>
      <c r="L208" s="6">
        <f t="shared" si="156"/>
        <v>5948.3417764233263</v>
      </c>
      <c r="M208" s="6">
        <f t="shared" si="156"/>
        <v>6879.9269688591185</v>
      </c>
    </row>
    <row r="209" spans="1:13" hidden="1" outlineLevel="1" x14ac:dyDescent="0.35">
      <c r="A209" s="6" t="s">
        <v>110</v>
      </c>
      <c r="D209" s="168"/>
      <c r="E209" s="85">
        <f t="shared" ref="E209:M209" si="157">E118</f>
        <v>-5000</v>
      </c>
      <c r="F209" s="85">
        <f t="shared" si="157"/>
        <v>-5000</v>
      </c>
      <c r="G209" s="85">
        <f t="shared" si="157"/>
        <v>-5000.0000000000009</v>
      </c>
      <c r="H209" s="85">
        <f t="shared" si="157"/>
        <v>-5000.0000000000009</v>
      </c>
      <c r="I209" s="68">
        <f t="shared" si="157"/>
        <v>-5000.0000000000009</v>
      </c>
      <c r="J209" s="68">
        <f t="shared" si="157"/>
        <v>0</v>
      </c>
      <c r="K209" s="68">
        <f t="shared" si="157"/>
        <v>0</v>
      </c>
      <c r="L209" s="68">
        <f t="shared" si="157"/>
        <v>0</v>
      </c>
      <c r="M209" s="68">
        <f t="shared" si="157"/>
        <v>-5000.0000000000009</v>
      </c>
    </row>
    <row r="210" spans="1:13" hidden="1" outlineLevel="1" x14ac:dyDescent="0.35">
      <c r="A210" s="3" t="s">
        <v>109</v>
      </c>
      <c r="B210" s="3"/>
      <c r="C210" s="55"/>
      <c r="D210" s="173">
        <f>D154</f>
        <v>5502.11</v>
      </c>
      <c r="E210" s="63">
        <f>E207+E208+E209</f>
        <v>5576.4668000000001</v>
      </c>
      <c r="F210" s="63">
        <f t="shared" ref="F210:M210" si="158">F207+F208+F209</f>
        <v>6028.0731999999989</v>
      </c>
      <c r="G210" s="63">
        <f t="shared" si="158"/>
        <v>6460.0619999999972</v>
      </c>
      <c r="H210" s="63">
        <f t="shared" si="158"/>
        <v>6670.8779999999961</v>
      </c>
      <c r="I210" s="3">
        <f t="shared" si="158"/>
        <v>7046.8441923691889</v>
      </c>
      <c r="J210" s="3">
        <f t="shared" si="158"/>
        <v>12594.566584802338</v>
      </c>
      <c r="K210" s="3">
        <f t="shared" si="158"/>
        <v>18338.936037209707</v>
      </c>
      <c r="L210" s="3">
        <f t="shared" si="158"/>
        <v>24287.277813633034</v>
      </c>
      <c r="M210" s="3">
        <f t="shared" si="158"/>
        <v>26167.204782492154</v>
      </c>
    </row>
    <row r="211" spans="1:13" hidden="1" outlineLevel="1" x14ac:dyDescent="0.35">
      <c r="D211" s="168"/>
      <c r="E211" s="81"/>
      <c r="F211" s="81"/>
      <c r="G211" s="81"/>
      <c r="H211" s="81"/>
    </row>
    <row r="212" spans="1:13" s="4" customFormat="1" hidden="1" outlineLevel="1" x14ac:dyDescent="0.35">
      <c r="C212" s="191"/>
      <c r="D212" s="26"/>
      <c r="E212" s="26"/>
      <c r="F212" s="26"/>
      <c r="G212" s="26"/>
      <c r="H212" s="26"/>
    </row>
    <row r="213" spans="1:13" collapsed="1" x14ac:dyDescent="0.35">
      <c r="D213" s="9"/>
      <c r="E213" s="9"/>
      <c r="F213" s="9"/>
      <c r="G213" s="9"/>
      <c r="H213" s="9"/>
    </row>
    <row r="214" spans="1:13" ht="20" x14ac:dyDescent="0.4">
      <c r="A214" s="350" t="s">
        <v>66</v>
      </c>
      <c r="B214" s="350"/>
      <c r="C214" s="350"/>
      <c r="D214" s="350"/>
      <c r="E214" s="350"/>
      <c r="F214" s="350"/>
      <c r="G214" s="350"/>
      <c r="H214" s="350"/>
      <c r="I214" s="350"/>
      <c r="J214" s="350"/>
      <c r="K214" s="350"/>
      <c r="L214" s="350"/>
      <c r="M214" s="350"/>
    </row>
    <row r="215" spans="1:13" hidden="1" outlineLevel="1" x14ac:dyDescent="0.35">
      <c r="A215" s="7"/>
      <c r="D215" s="9"/>
      <c r="E215" s="9"/>
      <c r="F215" s="9"/>
      <c r="G215" s="9"/>
      <c r="H215" s="9"/>
    </row>
    <row r="216" spans="1:13" hidden="1" outlineLevel="1" x14ac:dyDescent="0.35">
      <c r="A216" s="58" t="s">
        <v>245</v>
      </c>
      <c r="B216" s="9"/>
      <c r="C216" s="9"/>
      <c r="D216" s="9"/>
      <c r="E216" s="7" t="s">
        <v>243</v>
      </c>
      <c r="J216" s="158" t="s">
        <v>244</v>
      </c>
      <c r="K216" s="85"/>
      <c r="L216" s="85"/>
      <c r="M216" s="85"/>
    </row>
    <row r="217" spans="1:13" hidden="1" outlineLevel="1" x14ac:dyDescent="0.35">
      <c r="A217" s="57" t="s">
        <v>158</v>
      </c>
      <c r="B217" s="59"/>
      <c r="C217" s="60">
        <v>0.2</v>
      </c>
      <c r="D217" s="9"/>
      <c r="E217" s="3" t="s">
        <v>156</v>
      </c>
      <c r="F217" s="3"/>
      <c r="G217" s="3"/>
      <c r="H217" s="258">
        <v>0.05</v>
      </c>
      <c r="I217" s="275" t="s">
        <v>254</v>
      </c>
      <c r="J217" s="259" t="s">
        <v>157</v>
      </c>
      <c r="K217" s="256"/>
      <c r="L217" s="256"/>
      <c r="M217" s="256"/>
    </row>
    <row r="218" spans="1:13" hidden="1" outlineLevel="1" x14ac:dyDescent="0.35">
      <c r="A218" s="22" t="s">
        <v>166</v>
      </c>
      <c r="C218" s="277">
        <f>H228</f>
        <v>7.4711E-2</v>
      </c>
      <c r="E218" s="6" t="s">
        <v>158</v>
      </c>
      <c r="H218" s="276">
        <f>C217</f>
        <v>0.2</v>
      </c>
      <c r="J218" s="85"/>
      <c r="K218" s="85"/>
      <c r="L218" s="85"/>
      <c r="M218" s="85"/>
    </row>
    <row r="219" spans="1:13" hidden="1" outlineLevel="1" x14ac:dyDescent="0.35">
      <c r="A219" s="6" t="s">
        <v>102</v>
      </c>
      <c r="C219" s="278">
        <v>0.03</v>
      </c>
      <c r="E219" s="7" t="s">
        <v>159</v>
      </c>
      <c r="F219" s="7"/>
      <c r="G219" s="7"/>
      <c r="H219" s="274">
        <f>H217*(1-H218)</f>
        <v>4.0000000000000008E-2</v>
      </c>
      <c r="J219" s="257"/>
      <c r="K219" s="257"/>
      <c r="L219" s="257"/>
      <c r="M219" s="257"/>
    </row>
    <row r="220" spans="1:13" hidden="1" outlineLevel="1" x14ac:dyDescent="0.35">
      <c r="A220" s="6" t="s">
        <v>247</v>
      </c>
      <c r="C220" s="183">
        <v>13</v>
      </c>
      <c r="E220" s="6" t="s">
        <v>248</v>
      </c>
      <c r="H220" s="265">
        <v>1.26E-2</v>
      </c>
      <c r="I220" s="275" t="s">
        <v>254</v>
      </c>
      <c r="J220" s="348" t="s">
        <v>284</v>
      </c>
      <c r="K220" s="257"/>
      <c r="L220" s="257"/>
      <c r="M220" s="257"/>
    </row>
    <row r="221" spans="1:13" hidden="1" outlineLevel="1" x14ac:dyDescent="0.35">
      <c r="A221" s="6" t="s">
        <v>256</v>
      </c>
      <c r="C221" s="183">
        <v>18</v>
      </c>
      <c r="E221" s="6" t="s">
        <v>160</v>
      </c>
      <c r="H221" s="265">
        <v>4.8899999999999999E-2</v>
      </c>
      <c r="I221" s="275" t="s">
        <v>254</v>
      </c>
      <c r="J221" s="347" t="s">
        <v>282</v>
      </c>
      <c r="K221" s="257"/>
      <c r="L221" s="257"/>
      <c r="M221" s="257"/>
    </row>
    <row r="222" spans="1:13" hidden="1" outlineLevel="1" x14ac:dyDescent="0.35">
      <c r="A222" s="6" t="s">
        <v>170</v>
      </c>
      <c r="C222" s="61">
        <v>43101</v>
      </c>
      <c r="E222" s="6" t="s">
        <v>161</v>
      </c>
      <c r="H222" s="264">
        <f>H220+H221</f>
        <v>6.1499999999999999E-2</v>
      </c>
      <c r="J222" s="266"/>
      <c r="K222" s="266"/>
      <c r="L222" s="266"/>
      <c r="M222" s="266"/>
    </row>
    <row r="223" spans="1:13" hidden="1" outlineLevel="1" x14ac:dyDescent="0.35">
      <c r="A223" s="6" t="s">
        <v>168</v>
      </c>
      <c r="C223" s="61">
        <v>43465</v>
      </c>
      <c r="D223" s="187"/>
      <c r="E223" s="6" t="s">
        <v>255</v>
      </c>
      <c r="H223" s="17">
        <f>M227</f>
        <v>1.9800000000000002</v>
      </c>
      <c r="J223" s="267" t="s">
        <v>249</v>
      </c>
      <c r="K223" s="266"/>
      <c r="L223" s="266"/>
      <c r="M223" s="266"/>
    </row>
    <row r="224" spans="1:13" hidden="1" outlineLevel="1" x14ac:dyDescent="0.35">
      <c r="A224" s="6" t="s">
        <v>173</v>
      </c>
      <c r="C224" s="188">
        <v>145000</v>
      </c>
      <c r="E224" s="7" t="s">
        <v>253</v>
      </c>
      <c r="F224" s="7"/>
      <c r="G224" s="7"/>
      <c r="H224" s="274">
        <f>H220+(H223*H221)</f>
        <v>0.10942200000000001</v>
      </c>
      <c r="J224" s="268" t="s">
        <v>250</v>
      </c>
      <c r="K224" s="269"/>
      <c r="L224" s="269"/>
      <c r="M224" s="269"/>
    </row>
    <row r="225" spans="1:17" hidden="1" outlineLevel="1" x14ac:dyDescent="0.35">
      <c r="A225" s="6" t="s">
        <v>171</v>
      </c>
      <c r="C225" s="324">
        <v>0.78</v>
      </c>
      <c r="E225" s="6" t="s">
        <v>162</v>
      </c>
      <c r="H225" s="11">
        <v>1</v>
      </c>
      <c r="J225" s="270" t="s">
        <v>258</v>
      </c>
      <c r="K225" s="266"/>
      <c r="L225" s="266"/>
      <c r="M225" s="271">
        <v>1.1000000000000001</v>
      </c>
    </row>
    <row r="226" spans="1:17" hidden="1" outlineLevel="1" x14ac:dyDescent="0.35">
      <c r="A226" s="7" t="s">
        <v>172</v>
      </c>
      <c r="B226" s="7"/>
      <c r="C226" s="190">
        <f>C224*C225</f>
        <v>113100</v>
      </c>
      <c r="E226" s="6" t="s">
        <v>163</v>
      </c>
      <c r="H226" s="11">
        <v>0.5</v>
      </c>
      <c r="J226" s="272" t="s">
        <v>251</v>
      </c>
      <c r="K226" s="85"/>
      <c r="L226" s="85"/>
      <c r="M226" s="85"/>
      <c r="P226" s="11"/>
      <c r="Q226" s="349"/>
    </row>
    <row r="227" spans="1:17" hidden="1" outlineLevel="1" x14ac:dyDescent="0.35">
      <c r="C227" s="62"/>
      <c r="E227" s="6" t="s">
        <v>164</v>
      </c>
      <c r="H227" s="11">
        <v>0.5</v>
      </c>
      <c r="J227" s="273" t="s">
        <v>252</v>
      </c>
      <c r="M227" s="17">
        <f>M225*(1+(1-H218)*(H225))</f>
        <v>1.9800000000000002</v>
      </c>
    </row>
    <row r="228" spans="1:17" hidden="1" outlineLevel="1" x14ac:dyDescent="0.35">
      <c r="C228" s="62"/>
      <c r="E228" s="7" t="s">
        <v>165</v>
      </c>
      <c r="H228" s="325">
        <f>(H219*H226)+(H224*H227)</f>
        <v>7.4711E-2</v>
      </c>
    </row>
    <row r="229" spans="1:17" hidden="1" outlineLevel="1" x14ac:dyDescent="0.35">
      <c r="C229" s="62"/>
      <c r="O229" s="349"/>
    </row>
    <row r="230" spans="1:17" hidden="1" outlineLevel="1" x14ac:dyDescent="0.35">
      <c r="C230" s="61"/>
    </row>
    <row r="231" spans="1:17" hidden="1" outlineLevel="1" x14ac:dyDescent="0.35">
      <c r="A231" s="260" t="s">
        <v>77</v>
      </c>
      <c r="B231" s="261"/>
      <c r="C231" s="262" t="s">
        <v>79</v>
      </c>
      <c r="D231" s="263">
        <f>YEAR(C232)</f>
        <v>2018</v>
      </c>
      <c r="E231" s="263">
        <f>+D231+1</f>
        <v>2019</v>
      </c>
      <c r="F231" s="263">
        <f t="shared" ref="F231:H231" si="159">+E231+1</f>
        <v>2020</v>
      </c>
      <c r="G231" s="263">
        <f t="shared" si="159"/>
        <v>2021</v>
      </c>
      <c r="H231" s="263">
        <f t="shared" si="159"/>
        <v>2022</v>
      </c>
      <c r="I231" s="262" t="s">
        <v>80</v>
      </c>
      <c r="K231" s="197" t="s">
        <v>73</v>
      </c>
      <c r="L231" s="311"/>
      <c r="M231" s="311"/>
    </row>
    <row r="232" spans="1:17" hidden="1" outlineLevel="1" x14ac:dyDescent="0.35">
      <c r="A232" s="36" t="s">
        <v>81</v>
      </c>
      <c r="B232" s="36"/>
      <c r="C232" s="64">
        <f>C222</f>
        <v>43101</v>
      </c>
      <c r="D232" s="64">
        <f>DATE(YEAR($C$232)+D233,MONTH($C$223),DAY($C$223))</f>
        <v>43465</v>
      </c>
      <c r="E232" s="64">
        <f>DATE(YEAR($C$232)+E233,MONTH($C$223),DAY($C$223))</f>
        <v>43830</v>
      </c>
      <c r="F232" s="64">
        <f>DATE(YEAR($C$232)+F233,MONTH($C$223),DAY($C$223))</f>
        <v>44196</v>
      </c>
      <c r="G232" s="64">
        <f>DATE(YEAR($C$232)+G233,MONTH($C$223),DAY($C$223))</f>
        <v>44561</v>
      </c>
      <c r="H232" s="64">
        <f>DATE(YEAR($C$232)+H233,MONTH($C$223),DAY($C$223))</f>
        <v>44926</v>
      </c>
      <c r="I232" s="64">
        <f>H232</f>
        <v>44926</v>
      </c>
      <c r="K232" s="5" t="s">
        <v>103</v>
      </c>
      <c r="L232" s="5"/>
      <c r="M232" s="186">
        <f>(H244*(1+C219))/(C218-C219)</f>
        <v>156709.94013601594</v>
      </c>
    </row>
    <row r="233" spans="1:17" hidden="1" outlineLevel="1" x14ac:dyDescent="0.35">
      <c r="A233" s="52" t="s">
        <v>167</v>
      </c>
      <c r="B233" s="52"/>
      <c r="C233" s="52"/>
      <c r="D233" s="184">
        <v>0</v>
      </c>
      <c r="E233" s="52">
        <f>D233+1</f>
        <v>1</v>
      </c>
      <c r="F233" s="52">
        <f t="shared" ref="F233:H233" si="160">E233+1</f>
        <v>2</v>
      </c>
      <c r="G233" s="52">
        <f t="shared" si="160"/>
        <v>3</v>
      </c>
      <c r="H233" s="52">
        <f t="shared" si="160"/>
        <v>4</v>
      </c>
      <c r="I233" s="52"/>
      <c r="K233" s="6" t="s">
        <v>75</v>
      </c>
      <c r="M233" s="2">
        <f>+H241*C220</f>
        <v>127358.50889802155</v>
      </c>
    </row>
    <row r="234" spans="1:17" hidden="1" outlineLevel="1" x14ac:dyDescent="0.35">
      <c r="A234" s="52" t="s">
        <v>169</v>
      </c>
      <c r="B234" s="52"/>
      <c r="C234" s="52"/>
      <c r="D234" s="185">
        <f>YEARFRAC(C232,D232)</f>
        <v>1</v>
      </c>
      <c r="E234" s="185">
        <f t="shared" ref="E234:H234" si="161">YEARFRAC(D232,E232)</f>
        <v>1</v>
      </c>
      <c r="F234" s="185">
        <f t="shared" si="161"/>
        <v>1</v>
      </c>
      <c r="G234" s="185">
        <f t="shared" si="161"/>
        <v>1</v>
      </c>
      <c r="H234" s="185">
        <f t="shared" si="161"/>
        <v>1</v>
      </c>
      <c r="I234" s="189">
        <v>1</v>
      </c>
      <c r="K234" s="6" t="s">
        <v>257</v>
      </c>
      <c r="M234" s="6">
        <f>C221*H238</f>
        <v>154798.35679933015</v>
      </c>
    </row>
    <row r="235" spans="1:17" hidden="1" outlineLevel="1" x14ac:dyDescent="0.35">
      <c r="C235" s="6"/>
      <c r="D235" s="64"/>
      <c r="K235" s="31" t="s">
        <v>76</v>
      </c>
      <c r="L235" s="31"/>
      <c r="M235" s="31">
        <f>AVERAGE(M232:M234)</f>
        <v>146288.93527778922</v>
      </c>
    </row>
    <row r="236" spans="1:17" hidden="1" outlineLevel="1" x14ac:dyDescent="0.35">
      <c r="A236" s="6" t="s">
        <v>67</v>
      </c>
      <c r="C236" s="6"/>
      <c r="D236" s="6">
        <f>I133</f>
        <v>6719.9577404614929</v>
      </c>
      <c r="E236" s="6">
        <f>J133</f>
        <v>6934.6529905414372</v>
      </c>
      <c r="F236" s="6">
        <f>K133</f>
        <v>7180.4618155092094</v>
      </c>
      <c r="G236" s="6">
        <f>L133</f>
        <v>7435.4272205291581</v>
      </c>
      <c r="H236" s="6">
        <f>M133</f>
        <v>8599.9087110738983</v>
      </c>
    </row>
    <row r="237" spans="1:17" hidden="1" outlineLevel="1" x14ac:dyDescent="0.35">
      <c r="A237" s="6" t="s">
        <v>3</v>
      </c>
      <c r="C237" s="6"/>
      <c r="D237" s="6">
        <f>I131</f>
        <v>900</v>
      </c>
      <c r="E237" s="6">
        <f>J131</f>
        <v>900</v>
      </c>
      <c r="F237" s="6">
        <f>K131</f>
        <v>900</v>
      </c>
      <c r="G237" s="6">
        <f>L131</f>
        <v>900</v>
      </c>
      <c r="H237" s="6">
        <f>M131</f>
        <v>0</v>
      </c>
    </row>
    <row r="238" spans="1:17" hidden="1" outlineLevel="1" x14ac:dyDescent="0.35">
      <c r="A238" s="31" t="s">
        <v>68</v>
      </c>
      <c r="B238" s="31"/>
      <c r="C238" s="31"/>
      <c r="D238" s="31">
        <f>SUM(D236:D237)</f>
        <v>7619.9577404614929</v>
      </c>
      <c r="E238" s="31">
        <f t="shared" ref="E238:H238" si="162">SUM(E236:E237)</f>
        <v>7834.6529905414372</v>
      </c>
      <c r="F238" s="31">
        <f t="shared" si="162"/>
        <v>8080.4618155092094</v>
      </c>
      <c r="G238" s="31">
        <f t="shared" si="162"/>
        <v>8335.4272205291581</v>
      </c>
      <c r="H238" s="31">
        <f t="shared" si="162"/>
        <v>8599.9087110738983</v>
      </c>
    </row>
    <row r="239" spans="1:17" hidden="1" outlineLevel="1" x14ac:dyDescent="0.35">
      <c r="A239" s="6" t="s">
        <v>69</v>
      </c>
      <c r="C239" s="6"/>
      <c r="D239" s="2">
        <f>D238*$C$217</f>
        <v>1523.9915480922987</v>
      </c>
      <c r="E239" s="2">
        <f t="shared" ref="E239:H239" si="163">E238*$C$217</f>
        <v>1566.9305981082875</v>
      </c>
      <c r="F239" s="2">
        <f t="shared" si="163"/>
        <v>1616.092363101842</v>
      </c>
      <c r="G239" s="2">
        <f t="shared" si="163"/>
        <v>1667.0854441058318</v>
      </c>
      <c r="H239" s="2">
        <f t="shared" si="163"/>
        <v>1719.9817422147798</v>
      </c>
      <c r="K239" s="264"/>
    </row>
    <row r="240" spans="1:17" hidden="1" outlineLevel="1" x14ac:dyDescent="0.35">
      <c r="A240" s="6" t="s">
        <v>72</v>
      </c>
      <c r="C240" s="6"/>
      <c r="D240" s="2">
        <f>I165</f>
        <v>1060.5141494629509</v>
      </c>
      <c r="E240" s="2">
        <f t="shared" ref="E240:H240" si="164">J165</f>
        <v>1090.3945449044199</v>
      </c>
      <c r="F240" s="2">
        <f t="shared" si="164"/>
        <v>1124.6051987978099</v>
      </c>
      <c r="G240" s="2">
        <f t="shared" si="164"/>
        <v>1160.0902275679075</v>
      </c>
      <c r="H240" s="2">
        <f t="shared" si="164"/>
        <v>1196.8996656969912</v>
      </c>
    </row>
    <row r="241" spans="1:12" hidden="1" outlineLevel="1" x14ac:dyDescent="0.35">
      <c r="A241" s="3" t="s">
        <v>90</v>
      </c>
      <c r="B241" s="3"/>
      <c r="C241" s="3"/>
      <c r="D241" s="65">
        <f>D238+D240</f>
        <v>8680.4718899244435</v>
      </c>
      <c r="E241" s="65">
        <f t="shared" ref="E241:H241" si="165">E238+E240</f>
        <v>8925.0475354458576</v>
      </c>
      <c r="F241" s="65">
        <f t="shared" si="165"/>
        <v>9205.0670143070201</v>
      </c>
      <c r="G241" s="65">
        <f t="shared" si="165"/>
        <v>9495.5174480970654</v>
      </c>
      <c r="H241" s="65">
        <f t="shared" si="165"/>
        <v>9796.8083767708886</v>
      </c>
    </row>
    <row r="242" spans="1:12" hidden="1" outlineLevel="1" x14ac:dyDescent="0.35">
      <c r="A242" s="6" t="s">
        <v>70</v>
      </c>
      <c r="C242" s="6"/>
      <c r="D242" s="6">
        <f>-I170</f>
        <v>1060.5141494629509</v>
      </c>
      <c r="E242" s="6">
        <f t="shared" ref="E242:H242" si="166">-J170</f>
        <v>1090.3945449044199</v>
      </c>
      <c r="F242" s="6">
        <f t="shared" si="166"/>
        <v>1124.6051987978099</v>
      </c>
      <c r="G242" s="6">
        <f t="shared" si="166"/>
        <v>1160.0902275679075</v>
      </c>
      <c r="H242" s="6">
        <f t="shared" si="166"/>
        <v>1196.8996656969912</v>
      </c>
    </row>
    <row r="243" spans="1:12" hidden="1" outlineLevel="1" x14ac:dyDescent="0.35">
      <c r="A243" s="6" t="s">
        <v>71</v>
      </c>
      <c r="C243" s="6"/>
      <c r="D243" s="203">
        <f>I192</f>
        <v>-29.640400790522108</v>
      </c>
      <c r="E243" s="6">
        <f>J192</f>
        <v>62.78652586278713</v>
      </c>
      <c r="F243" s="6">
        <f>K192</f>
        <v>65.429002307588235</v>
      </c>
      <c r="G243" s="6">
        <f>L192</f>
        <v>81.01985546096239</v>
      </c>
      <c r="H243" s="6">
        <f>M192</f>
        <v>77.346256799497951</v>
      </c>
    </row>
    <row r="244" spans="1:12" hidden="1" outlineLevel="1" x14ac:dyDescent="0.35">
      <c r="A244" s="31" t="s">
        <v>174</v>
      </c>
      <c r="B244" s="31"/>
      <c r="C244" s="31"/>
      <c r="D244" s="31">
        <f>(D238-D239+D240-D242-D243)*D234</f>
        <v>6125.6065931597168</v>
      </c>
      <c r="E244" s="31">
        <f t="shared" ref="E244:H244" si="167">(E238-E239+E240-E242-E243)*E234</f>
        <v>6204.935866570363</v>
      </c>
      <c r="F244" s="31">
        <f t="shared" si="167"/>
        <v>6398.9404500997789</v>
      </c>
      <c r="G244" s="31">
        <f t="shared" si="167"/>
        <v>6587.3219209623639</v>
      </c>
      <c r="H244" s="31">
        <f t="shared" si="167"/>
        <v>6802.5807120596201</v>
      </c>
    </row>
    <row r="245" spans="1:12" hidden="1" outlineLevel="1" x14ac:dyDescent="0.35">
      <c r="A245" s="6" t="s">
        <v>74</v>
      </c>
      <c r="C245" s="4"/>
      <c r="I245" s="4">
        <f>M235</f>
        <v>146288.93527778922</v>
      </c>
    </row>
    <row r="246" spans="1:12" hidden="1" outlineLevel="1" x14ac:dyDescent="0.35">
      <c r="A246" s="31" t="s">
        <v>175</v>
      </c>
      <c r="B246" s="31"/>
      <c r="C246" s="31">
        <f t="shared" ref="C246:I246" si="168">C245+C244</f>
        <v>0</v>
      </c>
      <c r="D246" s="31">
        <f t="shared" si="168"/>
        <v>6125.6065931597168</v>
      </c>
      <c r="E246" s="31">
        <f t="shared" si="168"/>
        <v>6204.935866570363</v>
      </c>
      <c r="F246" s="31">
        <f t="shared" si="168"/>
        <v>6398.9404500997789</v>
      </c>
      <c r="G246" s="31">
        <f t="shared" si="168"/>
        <v>6587.3219209623639</v>
      </c>
      <c r="H246" s="31">
        <f t="shared" si="168"/>
        <v>6802.5807120596201</v>
      </c>
      <c r="I246" s="31">
        <f t="shared" si="168"/>
        <v>146288.93527778922</v>
      </c>
    </row>
    <row r="247" spans="1:12" hidden="1" outlineLevel="1" x14ac:dyDescent="0.35">
      <c r="A247" s="6" t="s">
        <v>176</v>
      </c>
      <c r="C247" s="5">
        <f>-G254</f>
        <v>-129906.966</v>
      </c>
      <c r="D247" s="5">
        <f>D246</f>
        <v>6125.6065931597168</v>
      </c>
      <c r="E247" s="5">
        <f t="shared" ref="E247:I247" si="169">E246</f>
        <v>6204.935866570363</v>
      </c>
      <c r="F247" s="5">
        <f t="shared" ref="F247" si="170">F246</f>
        <v>6398.9404500997789</v>
      </c>
      <c r="G247" s="5">
        <f t="shared" ref="G247" si="171">G246</f>
        <v>6587.3219209623639</v>
      </c>
      <c r="H247" s="5">
        <f t="shared" si="169"/>
        <v>6802.5807120596201</v>
      </c>
      <c r="I247" s="5">
        <f t="shared" si="169"/>
        <v>146288.93527778922</v>
      </c>
    </row>
    <row r="248" spans="1:12" hidden="1" outlineLevel="1" x14ac:dyDescent="0.35">
      <c r="C248" s="5"/>
      <c r="D248" s="5"/>
      <c r="E248" s="5"/>
      <c r="F248" s="5"/>
      <c r="G248" s="5"/>
      <c r="H248" s="5"/>
      <c r="I248" s="5"/>
      <c r="L248" s="280"/>
    </row>
    <row r="249" spans="1:12" hidden="1" outlineLevel="1" x14ac:dyDescent="0.35">
      <c r="A249" s="5"/>
      <c r="B249" s="12"/>
      <c r="C249" s="5"/>
      <c r="D249" s="5"/>
      <c r="E249" s="5"/>
      <c r="F249" s="5"/>
      <c r="G249" s="5"/>
      <c r="H249" s="5"/>
    </row>
    <row r="250" spans="1:12" hidden="1" outlineLevel="1" x14ac:dyDescent="0.35">
      <c r="A250" s="7" t="s">
        <v>88</v>
      </c>
      <c r="C250" s="5"/>
      <c r="E250" s="7" t="s">
        <v>275</v>
      </c>
      <c r="I250" s="7" t="s">
        <v>259</v>
      </c>
    </row>
    <row r="251" spans="1:12" hidden="1" outlineLevel="1" x14ac:dyDescent="0.35">
      <c r="A251" s="3" t="s">
        <v>84</v>
      </c>
      <c r="B251" s="3"/>
      <c r="C251" s="3">
        <f>XNPV($C$218,C246:I246,C232:I232)</f>
        <v>127947.80047855221</v>
      </c>
      <c r="E251" s="3" t="s">
        <v>177</v>
      </c>
      <c r="F251" s="3"/>
      <c r="G251" s="3">
        <f>C226</f>
        <v>113100</v>
      </c>
      <c r="I251" s="3" t="s">
        <v>178</v>
      </c>
      <c r="J251" s="3"/>
      <c r="K251" s="192">
        <f>C251</f>
        <v>127947.80047855221</v>
      </c>
    </row>
    <row r="252" spans="1:12" hidden="1" outlineLevel="1" x14ac:dyDescent="0.35">
      <c r="A252" s="6" t="s">
        <v>85</v>
      </c>
      <c r="C252" s="6">
        <f>H142</f>
        <v>1193.0339999999994</v>
      </c>
      <c r="E252" s="6" t="s">
        <v>82</v>
      </c>
      <c r="G252" s="6">
        <f>C253</f>
        <v>18000</v>
      </c>
      <c r="I252" s="6" t="s">
        <v>87</v>
      </c>
      <c r="K252" s="193">
        <f>C254</f>
        <v>111140.83447855221</v>
      </c>
    </row>
    <row r="253" spans="1:12" hidden="1" outlineLevel="1" x14ac:dyDescent="0.35">
      <c r="A253" s="6" t="s">
        <v>86</v>
      </c>
      <c r="C253" s="6">
        <f>H150</f>
        <v>18000</v>
      </c>
      <c r="E253" s="6" t="s">
        <v>83</v>
      </c>
      <c r="G253" s="6">
        <f>+C252</f>
        <v>1193.0339999999994</v>
      </c>
      <c r="I253" s="39" t="s">
        <v>261</v>
      </c>
      <c r="J253" s="39"/>
      <c r="K253" s="281">
        <f>C226</f>
        <v>113100</v>
      </c>
    </row>
    <row r="254" spans="1:12" hidden="1" outlineLevel="1" x14ac:dyDescent="0.35">
      <c r="A254" s="7" t="s">
        <v>87</v>
      </c>
      <c r="B254" s="7"/>
      <c r="C254" s="197">
        <f>C251+C252-C253</f>
        <v>111140.83447855221</v>
      </c>
      <c r="D254" s="7"/>
      <c r="E254" s="6" t="s">
        <v>84</v>
      </c>
      <c r="G254" s="3">
        <f>G251+G252-G253</f>
        <v>129906.966</v>
      </c>
      <c r="H254" s="7"/>
      <c r="I254" s="7" t="s">
        <v>277</v>
      </c>
      <c r="J254" s="7"/>
      <c r="K254" s="279">
        <f>K253/K252-1</f>
        <v>1.7627774081774295E-2</v>
      </c>
    </row>
    <row r="255" spans="1:12" hidden="1" outlineLevel="1" x14ac:dyDescent="0.35">
      <c r="C255" s="6"/>
      <c r="E255" s="6" t="s">
        <v>78</v>
      </c>
      <c r="G255" s="11">
        <f>XIRR(C247:I247,C232:I232)</f>
        <v>7.114969789981844E-2</v>
      </c>
    </row>
    <row r="256" spans="1:12" collapsed="1" x14ac:dyDescent="0.35">
      <c r="C256" s="6"/>
    </row>
    <row r="257" spans="1:14" ht="20" x14ac:dyDescent="0.4">
      <c r="A257" s="350" t="s">
        <v>89</v>
      </c>
      <c r="B257" s="350"/>
      <c r="C257" s="350"/>
      <c r="D257" s="350"/>
      <c r="E257" s="350"/>
      <c r="F257" s="350"/>
      <c r="G257" s="350"/>
      <c r="H257" s="350"/>
      <c r="I257" s="350"/>
      <c r="J257" s="350"/>
      <c r="K257" s="350"/>
      <c r="L257" s="350"/>
      <c r="M257" s="350"/>
    </row>
    <row r="258" spans="1:14" hidden="1" outlineLevel="1" x14ac:dyDescent="0.35">
      <c r="A258" s="7"/>
      <c r="D258" s="9"/>
      <c r="E258" s="9"/>
      <c r="F258" s="9"/>
      <c r="G258" s="9"/>
      <c r="H258" s="9"/>
    </row>
    <row r="259" spans="1:14" hidden="1" outlineLevel="1" x14ac:dyDescent="0.35">
      <c r="A259" s="7"/>
      <c r="D259" s="9"/>
      <c r="E259" s="9"/>
      <c r="F259" s="9"/>
      <c r="G259" s="9"/>
      <c r="H259" s="9"/>
    </row>
    <row r="260" spans="1:14" hidden="1" outlineLevel="1" x14ac:dyDescent="0.35">
      <c r="A260" s="196" t="s">
        <v>179</v>
      </c>
      <c r="B260" s="194"/>
      <c r="C260" s="194"/>
      <c r="D260" s="195"/>
      <c r="E260" s="195"/>
      <c r="F260" s="195"/>
      <c r="G260" s="195"/>
      <c r="H260" s="10"/>
      <c r="I260" s="11"/>
    </row>
    <row r="261" spans="1:14" s="4" customFormat="1" hidden="1" outlineLevel="1" x14ac:dyDescent="0.35">
      <c r="A261" s="282"/>
      <c r="B261" s="283"/>
      <c r="C261" s="283"/>
      <c r="D261" s="284"/>
      <c r="E261" s="284"/>
      <c r="F261" s="284"/>
      <c r="G261" s="284"/>
      <c r="H261" s="285"/>
      <c r="I261" s="286"/>
    </row>
    <row r="262" spans="1:14" s="4" customFormat="1" hidden="1" outlineLevel="1" x14ac:dyDescent="0.35">
      <c r="A262" s="287" t="s">
        <v>263</v>
      </c>
      <c r="B262" s="283"/>
      <c r="C262" s="283"/>
      <c r="D262" s="284"/>
      <c r="E262" s="284"/>
      <c r="F262" s="284"/>
      <c r="G262" s="284"/>
      <c r="H262" s="285"/>
      <c r="I262" s="286"/>
    </row>
    <row r="263" spans="1:14" s="4" customFormat="1" hidden="1" outlineLevel="1" x14ac:dyDescent="0.35">
      <c r="A263" s="282"/>
      <c r="B263" s="283"/>
      <c r="C263" s="283"/>
      <c r="D263" s="284"/>
      <c r="E263" s="284"/>
      <c r="F263" s="284"/>
      <c r="G263" s="284"/>
      <c r="H263" s="285"/>
      <c r="I263" s="286"/>
    </row>
    <row r="264" spans="1:14" hidden="1" outlineLevel="1" x14ac:dyDescent="0.35">
      <c r="A264" s="12"/>
      <c r="B264" s="12"/>
      <c r="C264" s="13" t="s">
        <v>180</v>
      </c>
      <c r="D264" s="14"/>
      <c r="E264" s="14"/>
      <c r="F264" s="14"/>
      <c r="G264" s="14"/>
      <c r="H264" s="296"/>
      <c r="I264" s="296"/>
      <c r="J264" s="297"/>
      <c r="K264" s="297"/>
      <c r="L264" s="297"/>
      <c r="M264" s="297"/>
    </row>
    <row r="265" spans="1:14" hidden="1" outlineLevel="1" x14ac:dyDescent="0.35">
      <c r="A265" s="15"/>
      <c r="B265" s="289">
        <f>$C$254</f>
        <v>111140.83447855221</v>
      </c>
      <c r="C265" s="298">
        <v>0.05</v>
      </c>
      <c r="D265" s="299">
        <f>C265+0.01</f>
        <v>6.0000000000000005E-2</v>
      </c>
      <c r="E265" s="299">
        <f t="shared" ref="E265:M265" si="172">D265+0.01</f>
        <v>7.0000000000000007E-2</v>
      </c>
      <c r="F265" s="299">
        <f t="shared" si="172"/>
        <v>0.08</v>
      </c>
      <c r="G265" s="299">
        <f t="shared" si="172"/>
        <v>0.09</v>
      </c>
      <c r="H265" s="299">
        <f t="shared" si="172"/>
        <v>9.9999999999999992E-2</v>
      </c>
      <c r="I265" s="299">
        <f t="shared" si="172"/>
        <v>0.10999999999999999</v>
      </c>
      <c r="J265" s="299">
        <f t="shared" si="172"/>
        <v>0.11999999999999998</v>
      </c>
      <c r="K265" s="299">
        <f t="shared" si="172"/>
        <v>0.12999999999999998</v>
      </c>
      <c r="L265" s="299">
        <f t="shared" si="172"/>
        <v>0.13999999999999999</v>
      </c>
      <c r="M265" s="299">
        <f t="shared" si="172"/>
        <v>0.15</v>
      </c>
    </row>
    <row r="266" spans="1:14" hidden="1" outlineLevel="1" x14ac:dyDescent="0.35">
      <c r="A266" s="16"/>
      <c r="B266" s="290">
        <v>9</v>
      </c>
      <c r="C266" s="4">
        <f t="dataTable" ref="C266:M274" dt2D="1" dtr="1" r1="C218" r2="C220"/>
        <v>165889.60968962836</v>
      </c>
      <c r="D266" s="4">
        <v>128865.52656119328</v>
      </c>
      <c r="E266" s="4">
        <v>108813.70453581218</v>
      </c>
      <c r="F266" s="4">
        <v>95649.336131997159</v>
      </c>
      <c r="G266" s="4">
        <v>86003.992389276653</v>
      </c>
      <c r="H266" s="292">
        <v>78428.728398564868</v>
      </c>
      <c r="I266" s="293">
        <v>72194.816510954115</v>
      </c>
      <c r="J266" s="6">
        <v>66893.956277397621</v>
      </c>
      <c r="K266" s="6">
        <v>62278.330545819103</v>
      </c>
      <c r="L266" s="6">
        <v>58187.880887089399</v>
      </c>
      <c r="M266" s="6">
        <v>54513.926490114813</v>
      </c>
    </row>
    <row r="267" spans="1:14" hidden="1" outlineLevel="1" x14ac:dyDescent="0.35">
      <c r="A267" s="18"/>
      <c r="B267" s="291">
        <f>B266+1</f>
        <v>10</v>
      </c>
      <c r="C267" s="4">
        <v>168448.29492665417</v>
      </c>
      <c r="D267" s="27">
        <v>131305.77493704151</v>
      </c>
      <c r="E267" s="27">
        <v>111142.0341943747</v>
      </c>
      <c r="F267" s="27">
        <v>97871.850520593769</v>
      </c>
      <c r="G267" s="4">
        <v>88126.410139147963</v>
      </c>
      <c r="H267" s="326">
        <v>80456.410804918734</v>
      </c>
      <c r="I267" s="327">
        <v>74132.792824930773</v>
      </c>
      <c r="J267" s="4">
        <v>68746.947001833862</v>
      </c>
      <c r="K267" s="4">
        <v>64050.768908344107</v>
      </c>
      <c r="L267" s="6">
        <v>59883.932647633585</v>
      </c>
      <c r="M267" s="6">
        <v>56137.508225150101</v>
      </c>
    </row>
    <row r="268" spans="1:14" hidden="1" outlineLevel="1" x14ac:dyDescent="0.35">
      <c r="B268" s="291">
        <f t="shared" ref="B268:B274" si="173">B267+1</f>
        <v>11</v>
      </c>
      <c r="C268" s="4">
        <v>171006.98016367998</v>
      </c>
      <c r="D268" s="27">
        <v>133746.02331288974</v>
      </c>
      <c r="E268" s="27">
        <v>113470.36385293715</v>
      </c>
      <c r="F268" s="27">
        <v>100094.36490919035</v>
      </c>
      <c r="G268" s="4">
        <v>90248.827889019274</v>
      </c>
      <c r="H268" s="326">
        <v>82484.0932112726</v>
      </c>
      <c r="I268" s="327">
        <v>76070.769138907403</v>
      </c>
      <c r="J268" s="4">
        <v>70599.937726270102</v>
      </c>
      <c r="K268" s="4">
        <v>65823.207270869112</v>
      </c>
      <c r="L268" s="6">
        <v>61579.98440817777</v>
      </c>
      <c r="M268" s="6">
        <v>57761.089960185403</v>
      </c>
    </row>
    <row r="269" spans="1:14" hidden="1" outlineLevel="1" x14ac:dyDescent="0.35">
      <c r="A269" s="288" t="s">
        <v>90</v>
      </c>
      <c r="B269" s="291">
        <f t="shared" si="173"/>
        <v>12</v>
      </c>
      <c r="C269" s="4">
        <v>173565.66540070574</v>
      </c>
      <c r="D269" s="329">
        <v>136186.27168873796</v>
      </c>
      <c r="E269" s="329">
        <v>115798.69351149964</v>
      </c>
      <c r="F269" s="329">
        <v>102316.87929778693</v>
      </c>
      <c r="G269" s="330">
        <v>92371.245638890585</v>
      </c>
      <c r="H269" s="326">
        <v>84511.775617626467</v>
      </c>
      <c r="I269" s="327">
        <v>78008.745452884032</v>
      </c>
      <c r="J269" s="4">
        <v>72452.928450706357</v>
      </c>
      <c r="K269" s="4">
        <v>67595.645633394131</v>
      </c>
      <c r="L269" s="6">
        <v>63276.036168721956</v>
      </c>
      <c r="M269" s="6">
        <v>59384.671695220706</v>
      </c>
    </row>
    <row r="270" spans="1:14" hidden="1" outlineLevel="1" x14ac:dyDescent="0.35">
      <c r="A270" s="16" t="s">
        <v>91</v>
      </c>
      <c r="B270" s="291">
        <f t="shared" si="173"/>
        <v>13</v>
      </c>
      <c r="C270" s="4">
        <v>176124.35063773152</v>
      </c>
      <c r="D270" s="331">
        <v>138626.52006458619</v>
      </c>
      <c r="E270" s="331">
        <v>118127.02317006214</v>
      </c>
      <c r="F270" s="331">
        <v>104539.39368638354</v>
      </c>
      <c r="G270" s="331">
        <v>94493.66338876191</v>
      </c>
      <c r="H270" s="326">
        <v>86539.458023980318</v>
      </c>
      <c r="I270" s="327">
        <v>79946.721766860661</v>
      </c>
      <c r="J270" s="328">
        <v>74305.919175142611</v>
      </c>
      <c r="K270" s="328">
        <v>69368.083995919151</v>
      </c>
      <c r="L270" s="294">
        <v>64972.087929266141</v>
      </c>
      <c r="M270" s="294">
        <v>61008.253430255994</v>
      </c>
      <c r="N270" s="15"/>
    </row>
    <row r="271" spans="1:14" hidden="1" outlineLevel="1" x14ac:dyDescent="0.35">
      <c r="A271" s="19"/>
      <c r="B271" s="291">
        <f t="shared" si="173"/>
        <v>14</v>
      </c>
      <c r="C271" s="295">
        <v>178683.0358747573</v>
      </c>
      <c r="D271" s="330">
        <v>141066.76844043445</v>
      </c>
      <c r="E271" s="330">
        <v>120455.35282862463</v>
      </c>
      <c r="F271" s="330">
        <v>106761.90807498015</v>
      </c>
      <c r="G271" s="330">
        <v>96616.081138633221</v>
      </c>
      <c r="H271" s="326">
        <v>88567.140430334184</v>
      </c>
      <c r="I271" s="327">
        <v>81884.69808083729</v>
      </c>
      <c r="J271" s="328">
        <v>76158.909899578852</v>
      </c>
      <c r="K271" s="328">
        <v>71140.522358444141</v>
      </c>
      <c r="L271" s="294">
        <v>66668.139689810327</v>
      </c>
      <c r="M271" s="294">
        <v>62631.835165291282</v>
      </c>
      <c r="N271" s="15"/>
    </row>
    <row r="272" spans="1:14" hidden="1" outlineLevel="1" x14ac:dyDescent="0.35">
      <c r="A272" s="19"/>
      <c r="B272" s="291">
        <f t="shared" si="173"/>
        <v>15</v>
      </c>
      <c r="C272" s="295">
        <v>181241.72111178312</v>
      </c>
      <c r="D272" s="6">
        <v>143507.01681628267</v>
      </c>
      <c r="E272" s="4">
        <v>122783.68248718712</v>
      </c>
      <c r="F272" s="4">
        <v>108984.42246357676</v>
      </c>
      <c r="G272" s="4">
        <v>98738.498888504546</v>
      </c>
      <c r="H272" s="326">
        <v>90594.822836688065</v>
      </c>
      <c r="I272" s="327">
        <v>83822.674394813934</v>
      </c>
      <c r="J272" s="328">
        <v>78011.900624015107</v>
      </c>
      <c r="K272" s="328">
        <v>72912.96072096916</v>
      </c>
      <c r="L272" s="294">
        <v>68364.191450354512</v>
      </c>
      <c r="M272" s="294">
        <v>64255.416900326585</v>
      </c>
      <c r="N272" s="15"/>
    </row>
    <row r="273" spans="1:14" hidden="1" outlineLevel="1" x14ac:dyDescent="0.35">
      <c r="A273" s="19"/>
      <c r="B273" s="291">
        <f t="shared" si="173"/>
        <v>16</v>
      </c>
      <c r="C273" s="295">
        <v>183800.40634880893</v>
      </c>
      <c r="D273" s="6">
        <v>145947.2651921309</v>
      </c>
      <c r="E273" s="4">
        <v>125112.01214574961</v>
      </c>
      <c r="F273" s="4">
        <v>111206.93685217331</v>
      </c>
      <c r="G273" s="4">
        <v>100860.91663837584</v>
      </c>
      <c r="H273" s="326">
        <v>92622.505243041916</v>
      </c>
      <c r="I273" s="327">
        <v>85760.650708790563</v>
      </c>
      <c r="J273" s="328">
        <v>79864.891348451361</v>
      </c>
      <c r="K273" s="328">
        <v>74685.39908349418</v>
      </c>
      <c r="L273" s="294">
        <v>70060.243210898698</v>
      </c>
      <c r="M273" s="294">
        <v>65878.998635361888</v>
      </c>
      <c r="N273" s="15"/>
    </row>
    <row r="274" spans="1:14" hidden="1" outlineLevel="1" x14ac:dyDescent="0.35">
      <c r="A274" s="19"/>
      <c r="B274" s="291">
        <f t="shared" si="173"/>
        <v>17</v>
      </c>
      <c r="C274" s="295">
        <v>186359.09158583471</v>
      </c>
      <c r="D274" s="6">
        <v>148387.51356797913</v>
      </c>
      <c r="E274" s="6">
        <v>127440.34180431211</v>
      </c>
      <c r="F274" s="6">
        <v>113429.45124076991</v>
      </c>
      <c r="G274" s="6">
        <v>102983.33438824717</v>
      </c>
      <c r="H274" s="292">
        <v>94650.187649395797</v>
      </c>
      <c r="I274" s="293">
        <v>87698.627022767192</v>
      </c>
      <c r="J274" s="294">
        <v>81717.882072887602</v>
      </c>
      <c r="K274" s="294">
        <v>76457.83744601917</v>
      </c>
      <c r="L274" s="294">
        <v>71756.294971442869</v>
      </c>
      <c r="M274" s="294">
        <v>67502.580370397176</v>
      </c>
      <c r="N274" s="15"/>
    </row>
    <row r="275" spans="1:14" hidden="1" outlineLevel="1" x14ac:dyDescent="0.35">
      <c r="A275" s="19"/>
      <c r="B275" s="20"/>
      <c r="C275" s="17"/>
      <c r="D275" s="17"/>
      <c r="E275" s="17"/>
      <c r="F275" s="17"/>
      <c r="G275" s="17"/>
      <c r="H275" s="10"/>
      <c r="I275" s="11"/>
      <c r="J275" s="15"/>
      <c r="K275" s="15"/>
      <c r="L275" s="15"/>
      <c r="M275" s="15"/>
      <c r="N275" s="15"/>
    </row>
    <row r="276" spans="1:14" hidden="1" outlineLevel="1" x14ac:dyDescent="0.35">
      <c r="A276" s="19"/>
      <c r="B276" s="20"/>
      <c r="C276" s="17"/>
      <c r="D276" s="17"/>
      <c r="E276" s="17"/>
      <c r="F276" s="17"/>
      <c r="G276" s="17"/>
      <c r="H276" s="10"/>
      <c r="I276" s="11"/>
      <c r="J276" s="15"/>
      <c r="K276" s="15"/>
      <c r="L276" s="15"/>
      <c r="M276" s="15"/>
      <c r="N276" s="15"/>
    </row>
    <row r="277" spans="1:14" hidden="1" outlineLevel="1" x14ac:dyDescent="0.35">
      <c r="A277" s="12"/>
      <c r="B277" s="12"/>
      <c r="C277" s="13" t="s">
        <v>180</v>
      </c>
      <c r="D277" s="14"/>
      <c r="E277" s="14"/>
      <c r="F277" s="14"/>
      <c r="G277" s="14"/>
      <c r="H277" s="296"/>
      <c r="I277" s="296"/>
      <c r="J277" s="297"/>
      <c r="K277" s="297"/>
      <c r="L277" s="297"/>
      <c r="M277" s="297"/>
    </row>
    <row r="278" spans="1:14" hidden="1" outlineLevel="1" x14ac:dyDescent="0.35">
      <c r="A278" s="15"/>
      <c r="B278" s="289">
        <f>$C$254</f>
        <v>111140.83447855221</v>
      </c>
      <c r="C278" s="298">
        <v>0.05</v>
      </c>
      <c r="D278" s="299">
        <f>C278+0.01</f>
        <v>6.0000000000000005E-2</v>
      </c>
      <c r="E278" s="299">
        <f t="shared" ref="E278:M278" si="174">D278+0.01</f>
        <v>7.0000000000000007E-2</v>
      </c>
      <c r="F278" s="299">
        <f t="shared" si="174"/>
        <v>0.08</v>
      </c>
      <c r="G278" s="299">
        <f t="shared" si="174"/>
        <v>0.09</v>
      </c>
      <c r="H278" s="299">
        <f t="shared" si="174"/>
        <v>9.9999999999999992E-2</v>
      </c>
      <c r="I278" s="299">
        <f t="shared" si="174"/>
        <v>0.10999999999999999</v>
      </c>
      <c r="J278" s="299">
        <f t="shared" si="174"/>
        <v>0.11999999999999998</v>
      </c>
      <c r="K278" s="299">
        <f t="shared" si="174"/>
        <v>0.12999999999999998</v>
      </c>
      <c r="L278" s="299">
        <f t="shared" si="174"/>
        <v>0.13999999999999999</v>
      </c>
      <c r="M278" s="299">
        <f t="shared" si="174"/>
        <v>0.15</v>
      </c>
    </row>
    <row r="279" spans="1:14" hidden="1" outlineLevel="1" x14ac:dyDescent="0.35">
      <c r="A279" s="16"/>
      <c r="B279" s="290">
        <v>14</v>
      </c>
      <c r="C279" s="4">
        <f t="dataTable" ref="C279:M287" dt2D="1" dtr="1" r1="C218" r2="C221" ca="1"/>
        <v>167140.0126319096</v>
      </c>
      <c r="D279" s="4">
        <v>130058.05063758357</v>
      </c>
      <c r="E279" s="4">
        <v>109951.53509563963</v>
      </c>
      <c r="F279" s="4">
        <v>96735.455866675431</v>
      </c>
      <c r="G279" s="4">
        <v>87041.195934591946</v>
      </c>
      <c r="H279" s="326">
        <v>79419.635763889732</v>
      </c>
      <c r="I279" s="327">
        <v>73141.885439168429</v>
      </c>
      <c r="J279" s="4">
        <v>67799.49362928707</v>
      </c>
      <c r="K279" s="4">
        <v>63144.502793754393</v>
      </c>
      <c r="L279" s="4">
        <v>59016.723794750418</v>
      </c>
      <c r="M279" s="4">
        <v>55307.354047809276</v>
      </c>
    </row>
    <row r="280" spans="1:14" hidden="1" outlineLevel="1" x14ac:dyDescent="0.35">
      <c r="A280" s="18"/>
      <c r="B280" s="291">
        <f>B279+1</f>
        <v>15</v>
      </c>
      <c r="C280" s="4">
        <v>169386.09713336508</v>
      </c>
      <c r="D280" s="27">
        <v>132200.16799433422</v>
      </c>
      <c r="E280" s="27">
        <v>111995.40711424527</v>
      </c>
      <c r="F280" s="27">
        <v>98686.440321602466</v>
      </c>
      <c r="G280" s="4">
        <v>88904.312798134444</v>
      </c>
      <c r="H280" s="326">
        <v>81199.591328912371</v>
      </c>
      <c r="I280" s="327">
        <v>74843.09452109148</v>
      </c>
      <c r="J280" s="4">
        <v>69426.100015750955</v>
      </c>
      <c r="K280" s="4">
        <v>64700.398094295582</v>
      </c>
      <c r="L280" s="4">
        <v>60505.564828379342</v>
      </c>
      <c r="M280" s="4">
        <v>56732.578893420956</v>
      </c>
    </row>
    <row r="281" spans="1:14" hidden="1" outlineLevel="1" x14ac:dyDescent="0.35">
      <c r="B281" s="291">
        <f t="shared" ref="B281:B287" si="175">B280+1</f>
        <v>16</v>
      </c>
      <c r="C281" s="4">
        <v>171632.18163482056</v>
      </c>
      <c r="D281" s="27">
        <v>134342.28535108489</v>
      </c>
      <c r="E281" s="27">
        <v>114039.27913285088</v>
      </c>
      <c r="F281" s="27">
        <v>100637.4247765295</v>
      </c>
      <c r="G281" s="4">
        <v>90767.429661676928</v>
      </c>
      <c r="H281" s="326">
        <v>82979.546893935025</v>
      </c>
      <c r="I281" s="327">
        <v>76544.303603014545</v>
      </c>
      <c r="J281" s="4">
        <v>71052.706402214841</v>
      </c>
      <c r="K281" s="4">
        <v>66256.293394836757</v>
      </c>
      <c r="L281" s="4">
        <v>61994.40586200828</v>
      </c>
      <c r="M281" s="4">
        <v>58157.803739032635</v>
      </c>
    </row>
    <row r="282" spans="1:14" hidden="1" outlineLevel="1" x14ac:dyDescent="0.35">
      <c r="A282" s="288" t="s">
        <v>68</v>
      </c>
      <c r="B282" s="291">
        <f t="shared" si="175"/>
        <v>17</v>
      </c>
      <c r="C282" s="4">
        <v>173878.26613627607</v>
      </c>
      <c r="D282" s="329">
        <v>136484.40270783554</v>
      </c>
      <c r="E282" s="329">
        <v>116083.15115145649</v>
      </c>
      <c r="F282" s="329">
        <v>102588.40923145651</v>
      </c>
      <c r="G282" s="330">
        <v>92630.546525219412</v>
      </c>
      <c r="H282" s="326">
        <v>84759.502458957679</v>
      </c>
      <c r="I282" s="327">
        <v>78245.51268493761</v>
      </c>
      <c r="J282" s="4">
        <v>72679.312788678712</v>
      </c>
      <c r="K282" s="4">
        <v>67812.188695377947</v>
      </c>
      <c r="L282" s="4">
        <v>63483.246895637203</v>
      </c>
      <c r="M282" s="4">
        <v>59583.028584644315</v>
      </c>
    </row>
    <row r="283" spans="1:14" hidden="1" outlineLevel="1" x14ac:dyDescent="0.35">
      <c r="A283" s="16" t="s">
        <v>91</v>
      </c>
      <c r="B283" s="291">
        <f t="shared" si="175"/>
        <v>18</v>
      </c>
      <c r="C283" s="4">
        <v>176124.35063773152</v>
      </c>
      <c r="D283" s="331">
        <v>138626.52006458619</v>
      </c>
      <c r="E283" s="331">
        <v>118127.02317006214</v>
      </c>
      <c r="F283" s="331">
        <v>104539.39368638354</v>
      </c>
      <c r="G283" s="331">
        <v>94493.66338876191</v>
      </c>
      <c r="H283" s="326">
        <v>86539.458023980318</v>
      </c>
      <c r="I283" s="327">
        <v>79946.721766860661</v>
      </c>
      <c r="J283" s="328">
        <v>74305.919175142611</v>
      </c>
      <c r="K283" s="328">
        <v>69368.083995919151</v>
      </c>
      <c r="L283" s="328">
        <v>64972.087929266141</v>
      </c>
      <c r="M283" s="328">
        <v>61008.253430255994</v>
      </c>
      <c r="N283" s="15"/>
    </row>
    <row r="284" spans="1:14" hidden="1" outlineLevel="1" x14ac:dyDescent="0.35">
      <c r="A284" s="19"/>
      <c r="B284" s="291">
        <f t="shared" si="175"/>
        <v>19</v>
      </c>
      <c r="C284" s="332">
        <v>178370.435139187</v>
      </c>
      <c r="D284" s="330">
        <v>140768.63742133687</v>
      </c>
      <c r="E284" s="330">
        <v>120170.89518866778</v>
      </c>
      <c r="F284" s="330">
        <v>106490.37814131058</v>
      </c>
      <c r="G284" s="330">
        <v>96356.780252304408</v>
      </c>
      <c r="H284" s="326">
        <v>88319.413589002987</v>
      </c>
      <c r="I284" s="327">
        <v>81647.930848783726</v>
      </c>
      <c r="J284" s="328">
        <v>75932.525561606497</v>
      </c>
      <c r="K284" s="328">
        <v>70923.97929646034</v>
      </c>
      <c r="L284" s="328">
        <v>66460.928962895079</v>
      </c>
      <c r="M284" s="328">
        <v>62433.478275867688</v>
      </c>
      <c r="N284" s="15"/>
    </row>
    <row r="285" spans="1:14" hidden="1" outlineLevel="1" x14ac:dyDescent="0.35">
      <c r="A285" s="19"/>
      <c r="B285" s="291">
        <f t="shared" si="175"/>
        <v>20</v>
      </c>
      <c r="C285" s="332">
        <v>180616.51964064248</v>
      </c>
      <c r="D285" s="4">
        <v>142910.75477808749</v>
      </c>
      <c r="E285" s="4">
        <v>122214.76720727343</v>
      </c>
      <c r="F285" s="4">
        <v>108441.36259623764</v>
      </c>
      <c r="G285" s="4">
        <v>98219.897115846907</v>
      </c>
      <c r="H285" s="326">
        <v>90099.369154025626</v>
      </c>
      <c r="I285" s="327">
        <v>83349.139930706777</v>
      </c>
      <c r="J285" s="328">
        <v>77559.131948070382</v>
      </c>
      <c r="K285" s="328">
        <v>72479.87459700153</v>
      </c>
      <c r="L285" s="328">
        <v>67949.769996524003</v>
      </c>
      <c r="M285" s="328">
        <v>63858.703121479353</v>
      </c>
      <c r="N285" s="15"/>
    </row>
    <row r="286" spans="1:14" hidden="1" outlineLevel="1" x14ac:dyDescent="0.35">
      <c r="A286" s="19"/>
      <c r="B286" s="291">
        <f t="shared" si="175"/>
        <v>21</v>
      </c>
      <c r="C286" s="332">
        <v>182862.60414209796</v>
      </c>
      <c r="D286" s="4">
        <v>145052.87213483817</v>
      </c>
      <c r="E286" s="4">
        <v>124258.63922587904</v>
      </c>
      <c r="F286" s="4">
        <v>110392.34705116464</v>
      </c>
      <c r="G286" s="4">
        <v>100083.01397938939</v>
      </c>
      <c r="H286" s="326">
        <v>91879.32471904828</v>
      </c>
      <c r="I286" s="327">
        <v>85050.349012629827</v>
      </c>
      <c r="J286" s="328">
        <v>79185.738334534268</v>
      </c>
      <c r="K286" s="328">
        <v>74035.769897542719</v>
      </c>
      <c r="L286" s="328">
        <v>69438.611030152926</v>
      </c>
      <c r="M286" s="328">
        <v>65283.927967091047</v>
      </c>
      <c r="N286" s="15"/>
    </row>
    <row r="287" spans="1:14" hidden="1" outlineLevel="1" x14ac:dyDescent="0.35">
      <c r="A287" s="19"/>
      <c r="B287" s="291">
        <f t="shared" si="175"/>
        <v>22</v>
      </c>
      <c r="C287" s="332">
        <v>185108.68864355347</v>
      </c>
      <c r="D287" s="4">
        <v>147194.98949158884</v>
      </c>
      <c r="E287" s="4">
        <v>126302.51124448469</v>
      </c>
      <c r="F287" s="4">
        <v>112343.33150609168</v>
      </c>
      <c r="G287" s="4">
        <v>101946.13084293187</v>
      </c>
      <c r="H287" s="326">
        <v>93659.280284070948</v>
      </c>
      <c r="I287" s="327">
        <v>86751.558094552907</v>
      </c>
      <c r="J287" s="328">
        <v>80812.344720998153</v>
      </c>
      <c r="K287" s="328">
        <v>75591.665198083909</v>
      </c>
      <c r="L287" s="328">
        <v>70927.452063781864</v>
      </c>
      <c r="M287" s="328">
        <v>66709.152812702741</v>
      </c>
      <c r="N287" s="15"/>
    </row>
    <row r="288" spans="1:14" hidden="1" outlineLevel="1" x14ac:dyDescent="0.35">
      <c r="A288" s="19"/>
      <c r="B288" s="20"/>
      <c r="C288" s="17"/>
      <c r="D288" s="17"/>
      <c r="E288" s="17"/>
      <c r="F288" s="17"/>
      <c r="G288" s="17"/>
      <c r="H288" s="10"/>
      <c r="I288" s="11"/>
      <c r="J288" s="15"/>
      <c r="K288" s="15"/>
      <c r="L288" s="15"/>
      <c r="M288" s="15"/>
      <c r="N288" s="15"/>
    </row>
    <row r="289" spans="1:14" hidden="1" outlineLevel="1" x14ac:dyDescent="0.35">
      <c r="A289" s="19"/>
      <c r="B289" s="20"/>
      <c r="C289" s="17"/>
      <c r="D289" s="17"/>
      <c r="E289" s="17"/>
      <c r="F289" s="17"/>
      <c r="G289" s="17"/>
      <c r="H289" s="10"/>
      <c r="I289" s="11"/>
      <c r="J289" s="15"/>
      <c r="K289" s="15"/>
      <c r="L289" s="15"/>
      <c r="M289" s="15"/>
      <c r="N289" s="15"/>
    </row>
    <row r="290" spans="1:14" hidden="1" outlineLevel="1" x14ac:dyDescent="0.35">
      <c r="A290" s="12"/>
      <c r="B290" s="12"/>
      <c r="C290" s="13" t="s">
        <v>102</v>
      </c>
      <c r="D290" s="14"/>
      <c r="E290" s="14"/>
      <c r="F290" s="14"/>
      <c r="G290" s="14"/>
      <c r="H290" s="296"/>
      <c r="I290" s="296"/>
      <c r="J290" s="297"/>
      <c r="K290" s="297"/>
      <c r="L290" s="297"/>
      <c r="M290" s="297"/>
    </row>
    <row r="291" spans="1:14" hidden="1" outlineLevel="1" x14ac:dyDescent="0.35">
      <c r="A291" s="15"/>
      <c r="B291" s="289">
        <f>$C$254</f>
        <v>111140.83447855221</v>
      </c>
      <c r="C291" s="298">
        <v>0.01</v>
      </c>
      <c r="D291" s="299">
        <f>C291+0.005</f>
        <v>1.4999999999999999E-2</v>
      </c>
      <c r="E291" s="299">
        <f t="shared" ref="E291:M291" si="176">D291+0.005</f>
        <v>0.02</v>
      </c>
      <c r="F291" s="299">
        <f t="shared" si="176"/>
        <v>2.5000000000000001E-2</v>
      </c>
      <c r="G291" s="299">
        <f t="shared" si="176"/>
        <v>3.0000000000000002E-2</v>
      </c>
      <c r="H291" s="299">
        <f t="shared" si="176"/>
        <v>3.5000000000000003E-2</v>
      </c>
      <c r="I291" s="299">
        <f t="shared" si="176"/>
        <v>0.04</v>
      </c>
      <c r="J291" s="299">
        <f t="shared" si="176"/>
        <v>4.4999999999999998E-2</v>
      </c>
      <c r="K291" s="299">
        <f t="shared" si="176"/>
        <v>4.9999999999999996E-2</v>
      </c>
      <c r="L291" s="299">
        <f t="shared" si="176"/>
        <v>5.4999999999999993E-2</v>
      </c>
      <c r="M291" s="299">
        <f t="shared" si="176"/>
        <v>5.9999999999999991E-2</v>
      </c>
    </row>
    <row r="292" spans="1:14" hidden="1" outlineLevel="1" x14ac:dyDescent="0.35">
      <c r="A292" s="16"/>
      <c r="B292" s="290">
        <v>9</v>
      </c>
      <c r="C292" s="4">
        <f t="dataTable" ref="C292:M300" dt2D="1" dtr="1" r1="C219" r2="C220" ca="1"/>
        <v>90280.25647368624</v>
      </c>
      <c r="D292" s="4">
        <v>92479.752699682474</v>
      </c>
      <c r="E292" s="4">
        <v>95081.269767190723</v>
      </c>
      <c r="F292" s="4">
        <v>98206.115085490179</v>
      </c>
      <c r="G292" s="4">
        <v>102029.8589563381</v>
      </c>
      <c r="H292" s="326">
        <v>106816.49569587426</v>
      </c>
      <c r="I292" s="327">
        <v>112982.12950825079</v>
      </c>
      <c r="J292" s="4">
        <v>121222.96570774872</v>
      </c>
      <c r="K292" s="4">
        <v>132798.68766642196</v>
      </c>
      <c r="L292" s="4">
        <v>150247.13143457877</v>
      </c>
      <c r="M292" s="4">
        <v>179556.38940174106</v>
      </c>
    </row>
    <row r="293" spans="1:14" hidden="1" outlineLevel="1" x14ac:dyDescent="0.35">
      <c r="A293" s="18"/>
      <c r="B293" s="291">
        <f>B292+1</f>
        <v>10</v>
      </c>
      <c r="C293" s="4">
        <v>92558.000354239761</v>
      </c>
      <c r="D293" s="27">
        <v>94757.496580236024</v>
      </c>
      <c r="E293" s="27">
        <v>97359.013647744243</v>
      </c>
      <c r="F293" s="27">
        <v>100483.8589660437</v>
      </c>
      <c r="G293" s="4">
        <v>104307.60283689162</v>
      </c>
      <c r="H293" s="326">
        <v>109094.23957642778</v>
      </c>
      <c r="I293" s="327">
        <v>115259.87338880429</v>
      </c>
      <c r="J293" s="4">
        <v>123500.70958830224</v>
      </c>
      <c r="K293" s="4">
        <v>135076.43154697551</v>
      </c>
      <c r="L293" s="4">
        <v>152524.87531513229</v>
      </c>
      <c r="M293" s="4">
        <v>181834.13328229456</v>
      </c>
    </row>
    <row r="294" spans="1:14" hidden="1" outlineLevel="1" x14ac:dyDescent="0.35">
      <c r="B294" s="291">
        <f t="shared" ref="B294:B300" si="177">B293+1</f>
        <v>11</v>
      </c>
      <c r="C294" s="4">
        <v>94835.74423479331</v>
      </c>
      <c r="D294" s="27">
        <v>97035.240460789544</v>
      </c>
      <c r="E294" s="27">
        <v>99636.757528297792</v>
      </c>
      <c r="F294" s="27">
        <v>102761.60284659722</v>
      </c>
      <c r="G294" s="4">
        <v>106585.34671744514</v>
      </c>
      <c r="H294" s="326">
        <v>111371.9834569813</v>
      </c>
      <c r="I294" s="327">
        <v>117537.61726935781</v>
      </c>
      <c r="J294" s="4">
        <v>125778.45346885576</v>
      </c>
      <c r="K294" s="4">
        <v>137354.175427529</v>
      </c>
      <c r="L294" s="4">
        <v>154802.61919568584</v>
      </c>
      <c r="M294" s="4">
        <v>184111.8771628481</v>
      </c>
    </row>
    <row r="295" spans="1:14" hidden="1" outlineLevel="1" x14ac:dyDescent="0.35">
      <c r="A295" s="288" t="s">
        <v>90</v>
      </c>
      <c r="B295" s="291">
        <f t="shared" si="177"/>
        <v>12</v>
      </c>
      <c r="C295" s="4">
        <v>97113.48811534683</v>
      </c>
      <c r="D295" s="27">
        <v>99312.984341343064</v>
      </c>
      <c r="E295" s="329">
        <v>101914.50140885131</v>
      </c>
      <c r="F295" s="329">
        <v>105039.34672715077</v>
      </c>
      <c r="G295" s="330">
        <v>108863.09059799866</v>
      </c>
      <c r="H295" s="333">
        <v>113649.7273375348</v>
      </c>
      <c r="I295" s="327">
        <v>119815.36114991133</v>
      </c>
      <c r="J295" s="4">
        <v>128056.19734940931</v>
      </c>
      <c r="K295" s="4">
        <v>139631.91930808252</v>
      </c>
      <c r="L295" s="4">
        <v>157080.36307623936</v>
      </c>
      <c r="M295" s="4">
        <v>186389.62104340162</v>
      </c>
    </row>
    <row r="296" spans="1:14" hidden="1" outlineLevel="1" x14ac:dyDescent="0.35">
      <c r="A296" s="16" t="s">
        <v>91</v>
      </c>
      <c r="B296" s="291">
        <f t="shared" si="177"/>
        <v>13</v>
      </c>
      <c r="C296" s="4">
        <v>99391.231995900351</v>
      </c>
      <c r="D296" s="4">
        <v>101590.72822189658</v>
      </c>
      <c r="E296" s="331">
        <v>104192.24528940483</v>
      </c>
      <c r="F296" s="331">
        <v>107317.09060770426</v>
      </c>
      <c r="G296" s="331">
        <v>111140.83447855221</v>
      </c>
      <c r="H296" s="334">
        <v>115927.47121808835</v>
      </c>
      <c r="I296" s="327">
        <v>122093.10503046488</v>
      </c>
      <c r="J296" s="328">
        <v>130333.94122996283</v>
      </c>
      <c r="K296" s="328">
        <v>141909.66318863604</v>
      </c>
      <c r="L296" s="328">
        <v>159358.10695679288</v>
      </c>
      <c r="M296" s="328">
        <v>188667.36492395517</v>
      </c>
      <c r="N296" s="15"/>
    </row>
    <row r="297" spans="1:14" hidden="1" outlineLevel="1" x14ac:dyDescent="0.35">
      <c r="A297" s="19"/>
      <c r="B297" s="291">
        <f t="shared" si="177"/>
        <v>14</v>
      </c>
      <c r="C297" s="332">
        <v>101668.9758764539</v>
      </c>
      <c r="D297" s="4">
        <v>103868.47210245013</v>
      </c>
      <c r="E297" s="330">
        <v>106469.98916995835</v>
      </c>
      <c r="F297" s="330">
        <v>109594.83448825781</v>
      </c>
      <c r="G297" s="330">
        <v>113418.57835910568</v>
      </c>
      <c r="H297" s="333">
        <v>118205.21509864187</v>
      </c>
      <c r="I297" s="327">
        <v>124370.8489110184</v>
      </c>
      <c r="J297" s="328">
        <v>132611.68511051635</v>
      </c>
      <c r="K297" s="328">
        <v>144187.40706918956</v>
      </c>
      <c r="L297" s="328">
        <v>161635.8508373464</v>
      </c>
      <c r="M297" s="328">
        <v>190945.10880450869</v>
      </c>
      <c r="N297" s="15"/>
    </row>
    <row r="298" spans="1:14" hidden="1" outlineLevel="1" x14ac:dyDescent="0.35">
      <c r="A298" s="19"/>
      <c r="B298" s="291">
        <f t="shared" si="177"/>
        <v>15</v>
      </c>
      <c r="C298" s="332">
        <v>103946.71975700739</v>
      </c>
      <c r="D298" s="4">
        <v>106146.21598300365</v>
      </c>
      <c r="E298" s="4">
        <v>108747.73305051187</v>
      </c>
      <c r="F298" s="4">
        <v>111872.57836881133</v>
      </c>
      <c r="G298" s="4">
        <v>115696.32223965923</v>
      </c>
      <c r="H298" s="326">
        <v>120482.95897919539</v>
      </c>
      <c r="I298" s="327">
        <v>126648.59279157192</v>
      </c>
      <c r="J298" s="328">
        <v>134889.42899106987</v>
      </c>
      <c r="K298" s="328">
        <v>146465.15094974311</v>
      </c>
      <c r="L298" s="328">
        <v>163913.59471789995</v>
      </c>
      <c r="M298" s="328">
        <v>193222.85268506219</v>
      </c>
      <c r="N298" s="15"/>
    </row>
    <row r="299" spans="1:14" hidden="1" outlineLevel="1" x14ac:dyDescent="0.35">
      <c r="A299" s="19"/>
      <c r="B299" s="291">
        <f t="shared" si="177"/>
        <v>16</v>
      </c>
      <c r="C299" s="332">
        <v>106224.46363756094</v>
      </c>
      <c r="D299" s="4">
        <v>108423.95986355717</v>
      </c>
      <c r="E299" s="4">
        <v>111025.47693106542</v>
      </c>
      <c r="F299" s="4">
        <v>114150.32224936484</v>
      </c>
      <c r="G299" s="4">
        <v>117974.06612021275</v>
      </c>
      <c r="H299" s="326">
        <v>122760.70285974894</v>
      </c>
      <c r="I299" s="327">
        <v>128926.33667212544</v>
      </c>
      <c r="J299" s="328">
        <v>137167.17287162342</v>
      </c>
      <c r="K299" s="328">
        <v>148742.89483029663</v>
      </c>
      <c r="L299" s="328">
        <v>166191.33859845347</v>
      </c>
      <c r="M299" s="328">
        <v>195500.59656561571</v>
      </c>
      <c r="N299" s="15"/>
    </row>
    <row r="300" spans="1:14" hidden="1" outlineLevel="1" x14ac:dyDescent="0.35">
      <c r="A300" s="19"/>
      <c r="B300" s="291">
        <f t="shared" si="177"/>
        <v>17</v>
      </c>
      <c r="C300" s="332">
        <v>108502.20751811446</v>
      </c>
      <c r="D300" s="4">
        <v>110701.70374411069</v>
      </c>
      <c r="E300" s="4">
        <v>113303.22081161893</v>
      </c>
      <c r="F300" s="4">
        <v>116428.06612991836</v>
      </c>
      <c r="G300" s="4">
        <v>120251.81000076627</v>
      </c>
      <c r="H300" s="326">
        <v>125038.44674030243</v>
      </c>
      <c r="I300" s="327">
        <v>131204.08055267893</v>
      </c>
      <c r="J300" s="328">
        <v>139444.91675217694</v>
      </c>
      <c r="K300" s="328">
        <v>151020.63871085012</v>
      </c>
      <c r="L300" s="328">
        <v>168469.08247900702</v>
      </c>
      <c r="M300" s="328">
        <v>197778.34044616926</v>
      </c>
      <c r="N300" s="15"/>
    </row>
    <row r="301" spans="1:14" hidden="1" outlineLevel="1" x14ac:dyDescent="0.35">
      <c r="A301" s="19"/>
      <c r="B301" s="20"/>
      <c r="C301" s="17"/>
      <c r="D301" s="17"/>
      <c r="E301" s="17"/>
      <c r="F301" s="17"/>
      <c r="G301" s="17"/>
      <c r="H301" s="10"/>
      <c r="I301" s="11"/>
      <c r="J301" s="15"/>
      <c r="K301" s="15"/>
      <c r="L301" s="15"/>
      <c r="M301" s="15"/>
      <c r="N301" s="15"/>
    </row>
    <row r="302" spans="1:14" hidden="1" outlineLevel="1" x14ac:dyDescent="0.35">
      <c r="A302" s="19"/>
      <c r="B302" s="20"/>
      <c r="C302" s="17"/>
      <c r="D302" s="17"/>
      <c r="E302" s="17"/>
      <c r="F302" s="17"/>
      <c r="G302" s="17"/>
      <c r="H302" s="10"/>
      <c r="I302" s="11"/>
      <c r="J302" s="15"/>
      <c r="K302" s="15"/>
      <c r="L302" s="15"/>
      <c r="M302" s="15"/>
      <c r="N302" s="15"/>
    </row>
    <row r="303" spans="1:14" hidden="1" outlineLevel="1" x14ac:dyDescent="0.35">
      <c r="A303" s="12"/>
      <c r="B303" s="12"/>
      <c r="C303" s="13" t="s">
        <v>262</v>
      </c>
      <c r="D303" s="14"/>
      <c r="E303" s="14"/>
      <c r="F303" s="14"/>
      <c r="G303" s="14"/>
      <c r="H303" s="296"/>
      <c r="I303" s="296"/>
      <c r="J303" s="297"/>
      <c r="K303" s="297"/>
      <c r="L303" s="297"/>
      <c r="M303" s="297"/>
    </row>
    <row r="304" spans="1:14" hidden="1" outlineLevel="1" x14ac:dyDescent="0.35">
      <c r="A304" s="15"/>
      <c r="B304" s="289">
        <f>$C$254</f>
        <v>111140.83447855221</v>
      </c>
      <c r="C304" s="302">
        <v>0.5</v>
      </c>
      <c r="D304" s="303">
        <f>C304+0.5</f>
        <v>1</v>
      </c>
      <c r="E304" s="303">
        <f t="shared" ref="E304:M304" si="178">D304+0.5</f>
        <v>1.5</v>
      </c>
      <c r="F304" s="303">
        <f t="shared" si="178"/>
        <v>2</v>
      </c>
      <c r="G304" s="303">
        <f t="shared" si="178"/>
        <v>2.5</v>
      </c>
      <c r="H304" s="303">
        <f t="shared" si="178"/>
        <v>3</v>
      </c>
      <c r="I304" s="303">
        <f t="shared" si="178"/>
        <v>3.5</v>
      </c>
      <c r="J304" s="303">
        <f t="shared" si="178"/>
        <v>4</v>
      </c>
      <c r="K304" s="303">
        <f t="shared" si="178"/>
        <v>4.5</v>
      </c>
      <c r="L304" s="303">
        <f t="shared" si="178"/>
        <v>5</v>
      </c>
      <c r="M304" s="303">
        <f t="shared" si="178"/>
        <v>5.5</v>
      </c>
    </row>
    <row r="305" spans="1:14" hidden="1" outlineLevel="1" x14ac:dyDescent="0.35">
      <c r="A305" s="16"/>
      <c r="B305" s="290">
        <v>9</v>
      </c>
      <c r="C305" s="4">
        <f t="dataTable" ref="C305:M313" dt2D="1" dtr="1" r1="H223" r2="C220" ca="1"/>
        <v>305677.46395750972</v>
      </c>
      <c r="D305" s="4">
        <v>161983.54236021763</v>
      </c>
      <c r="E305" s="4">
        <v>121817.41227817273</v>
      </c>
      <c r="F305" s="4">
        <v>101391.21002103834</v>
      </c>
      <c r="G305" s="4">
        <v>88249.224655951155</v>
      </c>
      <c r="H305" s="326">
        <v>78668.149430119622</v>
      </c>
      <c r="I305" s="327">
        <v>71138.913590743716</v>
      </c>
      <c r="J305" s="4">
        <v>64929.247214490766</v>
      </c>
      <c r="K305" s="4">
        <v>59637.795672089778</v>
      </c>
      <c r="L305" s="4">
        <v>55024.045849439499</v>
      </c>
      <c r="M305" s="4">
        <v>50933.589238193395</v>
      </c>
    </row>
    <row r="306" spans="1:14" hidden="1" outlineLevel="1" x14ac:dyDescent="0.35">
      <c r="A306" s="18"/>
      <c r="B306" s="291">
        <f>B305+1</f>
        <v>10</v>
      </c>
      <c r="C306" s="4">
        <v>308380.66645952017</v>
      </c>
      <c r="D306" s="27">
        <v>164533.10898486763</v>
      </c>
      <c r="E306" s="27">
        <v>124223.70305332961</v>
      </c>
      <c r="F306" s="27">
        <v>103663.77903136997</v>
      </c>
      <c r="G306" s="4">
        <v>90396.890906422122</v>
      </c>
      <c r="H306" s="326">
        <v>80699.060776363229</v>
      </c>
      <c r="I306" s="327">
        <v>73060.604481866481</v>
      </c>
      <c r="J306" s="4">
        <v>66748.690906616292</v>
      </c>
      <c r="K306" s="4">
        <v>61361.451494720022</v>
      </c>
      <c r="L306" s="4">
        <v>56657.902040012312</v>
      </c>
      <c r="M306" s="4">
        <v>52483.201801766088</v>
      </c>
    </row>
    <row r="307" spans="1:14" hidden="1" outlineLevel="1" x14ac:dyDescent="0.35">
      <c r="B307" s="291">
        <f t="shared" ref="B307:B313" si="179">B306+1</f>
        <v>11</v>
      </c>
      <c r="C307" s="4">
        <v>311083.86896153062</v>
      </c>
      <c r="D307" s="27">
        <v>167082.67560951767</v>
      </c>
      <c r="E307" s="27">
        <v>126629.99382848642</v>
      </c>
      <c r="F307" s="27">
        <v>105936.34804170158</v>
      </c>
      <c r="G307" s="4">
        <v>92544.557156893061</v>
      </c>
      <c r="H307" s="326">
        <v>82729.972122606836</v>
      </c>
      <c r="I307" s="327">
        <v>74982.295372989276</v>
      </c>
      <c r="J307" s="4">
        <v>68568.134598741788</v>
      </c>
      <c r="K307" s="4">
        <v>63085.107317350281</v>
      </c>
      <c r="L307" s="4">
        <v>58291.758230585125</v>
      </c>
      <c r="M307" s="4">
        <v>54032.814365338767</v>
      </c>
    </row>
    <row r="308" spans="1:14" hidden="1" outlineLevel="1" x14ac:dyDescent="0.35">
      <c r="A308" s="288" t="s">
        <v>90</v>
      </c>
      <c r="B308" s="291">
        <f t="shared" si="179"/>
        <v>12</v>
      </c>
      <c r="C308" s="4">
        <v>313787.07146354095</v>
      </c>
      <c r="D308" s="27">
        <v>169632.24223416773</v>
      </c>
      <c r="E308" s="329">
        <v>129036.28460364329</v>
      </c>
      <c r="F308" s="329">
        <v>108208.91705203318</v>
      </c>
      <c r="G308" s="330">
        <v>94692.223407364028</v>
      </c>
      <c r="H308" s="333">
        <v>84760.883468850443</v>
      </c>
      <c r="I308" s="335">
        <v>76903.986264112042</v>
      </c>
      <c r="J308" s="330">
        <v>70387.578290867328</v>
      </c>
      <c r="K308" s="4">
        <v>64808.763139980554</v>
      </c>
      <c r="L308" s="4">
        <v>59925.614421157938</v>
      </c>
      <c r="M308" s="4">
        <v>55582.42692891146</v>
      </c>
    </row>
    <row r="309" spans="1:14" hidden="1" outlineLevel="1" x14ac:dyDescent="0.35">
      <c r="A309" s="16" t="s">
        <v>91</v>
      </c>
      <c r="B309" s="291">
        <f t="shared" si="179"/>
        <v>13</v>
      </c>
      <c r="C309" s="4">
        <v>316490.2739655514</v>
      </c>
      <c r="D309" s="4">
        <v>172181.80885881776</v>
      </c>
      <c r="E309" s="331">
        <v>131442.5753788001</v>
      </c>
      <c r="F309" s="331">
        <v>110481.48606236478</v>
      </c>
      <c r="G309" s="331">
        <v>96839.889657834996</v>
      </c>
      <c r="H309" s="334">
        <v>86791.79481509405</v>
      </c>
      <c r="I309" s="337">
        <v>78825.677155234807</v>
      </c>
      <c r="J309" s="338">
        <v>72207.021982992839</v>
      </c>
      <c r="K309" s="328">
        <v>66532.418962610813</v>
      </c>
      <c r="L309" s="328">
        <v>61559.470611730751</v>
      </c>
      <c r="M309" s="328">
        <v>57132.039492484153</v>
      </c>
      <c r="N309" s="15"/>
    </row>
    <row r="310" spans="1:14" hidden="1" outlineLevel="1" x14ac:dyDescent="0.35">
      <c r="A310" s="19"/>
      <c r="B310" s="291">
        <f t="shared" si="179"/>
        <v>14</v>
      </c>
      <c r="C310" s="332">
        <v>319193.47646756185</v>
      </c>
      <c r="D310" s="4">
        <v>174731.37548346783</v>
      </c>
      <c r="E310" s="330">
        <v>133848.86615395697</v>
      </c>
      <c r="F310" s="330">
        <v>112754.0550726964</v>
      </c>
      <c r="G310" s="330">
        <v>98987.555908305963</v>
      </c>
      <c r="H310" s="333">
        <v>88822.706161337657</v>
      </c>
      <c r="I310" s="335">
        <v>80747.368046357573</v>
      </c>
      <c r="J310" s="336">
        <v>74026.465675118365</v>
      </c>
      <c r="K310" s="328">
        <v>68256.074785241086</v>
      </c>
      <c r="L310" s="328">
        <v>63193.326802303563</v>
      </c>
      <c r="M310" s="328">
        <v>58681.652056056831</v>
      </c>
      <c r="N310" s="15"/>
    </row>
    <row r="311" spans="1:14" hidden="1" outlineLevel="1" x14ac:dyDescent="0.35">
      <c r="A311" s="19"/>
      <c r="B311" s="291">
        <f t="shared" si="179"/>
        <v>15</v>
      </c>
      <c r="C311" s="332">
        <v>321896.6789695723</v>
      </c>
      <c r="D311" s="4">
        <v>177280.94210811783</v>
      </c>
      <c r="E311" s="4">
        <v>136255.15692911379</v>
      </c>
      <c r="F311" s="4">
        <v>115026.62408302803</v>
      </c>
      <c r="G311" s="4">
        <v>101135.22215877696</v>
      </c>
      <c r="H311" s="326">
        <v>90853.617507581264</v>
      </c>
      <c r="I311" s="327">
        <v>82669.058937480368</v>
      </c>
      <c r="J311" s="328">
        <v>75845.90936724389</v>
      </c>
      <c r="K311" s="328">
        <v>69979.730607871359</v>
      </c>
      <c r="L311" s="328">
        <v>64827.182992876376</v>
      </c>
      <c r="M311" s="328">
        <v>60231.26461962951</v>
      </c>
      <c r="N311" s="15"/>
    </row>
    <row r="312" spans="1:14" hidden="1" outlineLevel="1" x14ac:dyDescent="0.35">
      <c r="A312" s="19"/>
      <c r="B312" s="291">
        <f t="shared" si="179"/>
        <v>16</v>
      </c>
      <c r="C312" s="332">
        <v>324599.88147158269</v>
      </c>
      <c r="D312" s="4">
        <v>179830.50873276786</v>
      </c>
      <c r="E312" s="4">
        <v>138661.4477042706</v>
      </c>
      <c r="F312" s="4">
        <v>117299.19309335962</v>
      </c>
      <c r="G312" s="4">
        <v>103282.8884092479</v>
      </c>
      <c r="H312" s="326">
        <v>92884.528853824871</v>
      </c>
      <c r="I312" s="327">
        <v>84590.749828603133</v>
      </c>
      <c r="J312" s="328">
        <v>77665.353059369401</v>
      </c>
      <c r="K312" s="328">
        <v>71703.386430501603</v>
      </c>
      <c r="L312" s="328">
        <v>66461.039183449189</v>
      </c>
      <c r="M312" s="328">
        <v>61780.877183202203</v>
      </c>
      <c r="N312" s="15"/>
    </row>
    <row r="313" spans="1:14" hidden="1" outlineLevel="1" x14ac:dyDescent="0.35">
      <c r="A313" s="19"/>
      <c r="B313" s="291">
        <f t="shared" si="179"/>
        <v>17</v>
      </c>
      <c r="C313" s="332">
        <v>327303.08397359308</v>
      </c>
      <c r="D313" s="4">
        <v>182380.0753574179</v>
      </c>
      <c r="E313" s="4">
        <v>141067.7384794275</v>
      </c>
      <c r="F313" s="4">
        <v>119571.76210369123</v>
      </c>
      <c r="G313" s="4">
        <v>105430.55465971887</v>
      </c>
      <c r="H313" s="326">
        <v>94915.440200068464</v>
      </c>
      <c r="I313" s="327">
        <v>86512.440719725899</v>
      </c>
      <c r="J313" s="328">
        <v>79484.796751494912</v>
      </c>
      <c r="K313" s="328">
        <v>73427.042253131862</v>
      </c>
      <c r="L313" s="328">
        <v>68094.895374022002</v>
      </c>
      <c r="M313" s="328">
        <v>63330.489746774881</v>
      </c>
      <c r="N313" s="15"/>
    </row>
    <row r="314" spans="1:14" hidden="1" outlineLevel="1" x14ac:dyDescent="0.35">
      <c r="A314" s="300"/>
      <c r="B314" s="301"/>
      <c r="C314" s="27"/>
      <c r="D314" s="27"/>
      <c r="E314" s="27"/>
      <c r="F314" s="27"/>
      <c r="G314" s="27"/>
      <c r="H314" s="10"/>
      <c r="I314" s="11"/>
      <c r="J314" s="15"/>
      <c r="K314" s="15"/>
      <c r="L314" s="15"/>
      <c r="M314" s="15"/>
      <c r="N314" s="15"/>
    </row>
    <row r="315" spans="1:14" hidden="1" outlineLevel="1" x14ac:dyDescent="0.35">
      <c r="A315" s="300"/>
      <c r="B315" s="301"/>
      <c r="C315" s="27"/>
      <c r="D315" s="27"/>
      <c r="E315" s="27"/>
      <c r="F315" s="27"/>
      <c r="G315" s="27"/>
      <c r="H315" s="10"/>
      <c r="I315" s="11"/>
      <c r="J315" s="15"/>
      <c r="K315" s="15"/>
      <c r="L315" s="15"/>
      <c r="M315" s="15"/>
      <c r="N315" s="15"/>
    </row>
    <row r="316" spans="1:14" hidden="1" outlineLevel="1" x14ac:dyDescent="0.35">
      <c r="A316" s="12"/>
      <c r="B316" s="12"/>
      <c r="C316" s="13" t="s">
        <v>162</v>
      </c>
      <c r="D316" s="14"/>
      <c r="E316" s="14"/>
      <c r="F316" s="14"/>
      <c r="G316" s="14"/>
      <c r="H316" s="296"/>
      <c r="I316" s="296"/>
      <c r="J316" s="297"/>
      <c r="K316" s="297"/>
      <c r="L316" s="297"/>
      <c r="M316" s="297"/>
    </row>
    <row r="317" spans="1:14" hidden="1" outlineLevel="1" x14ac:dyDescent="0.35">
      <c r="A317" s="15"/>
      <c r="B317" s="289">
        <f>$C$254</f>
        <v>111140.83447855221</v>
      </c>
      <c r="C317" s="304">
        <v>0</v>
      </c>
      <c r="D317" s="305">
        <f>C317+0.5</f>
        <v>0.5</v>
      </c>
      <c r="E317" s="305">
        <f t="shared" ref="E317:M317" si="180">D317+0.5</f>
        <v>1</v>
      </c>
      <c r="F317" s="305">
        <f t="shared" si="180"/>
        <v>1.5</v>
      </c>
      <c r="G317" s="305">
        <f t="shared" si="180"/>
        <v>2</v>
      </c>
      <c r="H317" s="305">
        <f t="shared" si="180"/>
        <v>2.5</v>
      </c>
      <c r="I317" s="305">
        <f t="shared" si="180"/>
        <v>3</v>
      </c>
      <c r="J317" s="305">
        <f t="shared" si="180"/>
        <v>3.5</v>
      </c>
      <c r="K317" s="305">
        <f t="shared" si="180"/>
        <v>4</v>
      </c>
      <c r="L317" s="305">
        <f t="shared" si="180"/>
        <v>4.5</v>
      </c>
      <c r="M317" s="305">
        <f t="shared" si="180"/>
        <v>5</v>
      </c>
    </row>
    <row r="318" spans="1:14" hidden="1" outlineLevel="1" x14ac:dyDescent="0.35">
      <c r="A318" s="16"/>
      <c r="B318" s="290">
        <v>9</v>
      </c>
      <c r="C318" s="4">
        <f t="dataTable" ref="C318:M326" dt2D="1" dtr="1" r1="H225" r2="C220" ca="1"/>
        <v>150892.31247601233</v>
      </c>
      <c r="D318" s="4">
        <v>119735.80069047795</v>
      </c>
      <c r="E318" s="4">
        <v>102029.8589563381</v>
      </c>
      <c r="F318" s="4">
        <v>90054.959653831742</v>
      </c>
      <c r="G318" s="4">
        <v>81099.524861966871</v>
      </c>
      <c r="H318" s="326">
        <v>73961.480289830477</v>
      </c>
      <c r="I318" s="327">
        <v>68023.37800015985</v>
      </c>
      <c r="J318" s="4">
        <v>62933.548284672521</v>
      </c>
      <c r="K318" s="4">
        <v>58475.583789313736</v>
      </c>
      <c r="L318" s="4">
        <v>54507.988306089377</v>
      </c>
      <c r="M318" s="4">
        <v>50933.589238193395</v>
      </c>
    </row>
    <row r="319" spans="1:14" hidden="1" outlineLevel="1" x14ac:dyDescent="0.35">
      <c r="A319" s="18"/>
      <c r="B319" s="291">
        <f>B318+1</f>
        <v>10</v>
      </c>
      <c r="C319" s="4">
        <v>153412.42199920426</v>
      </c>
      <c r="D319" s="27">
        <v>122131.05230372393</v>
      </c>
      <c r="E319" s="27">
        <v>104307.60283689162</v>
      </c>
      <c r="F319" s="27">
        <v>92222.046091267359</v>
      </c>
      <c r="G319" s="4">
        <v>83162.342737419312</v>
      </c>
      <c r="H319" s="326">
        <v>75925.992254875106</v>
      </c>
      <c r="I319" s="327">
        <v>69895.152666879978</v>
      </c>
      <c r="J319" s="4">
        <v>64717.789706412223</v>
      </c>
      <c r="K319" s="4">
        <v>60177.158483131177</v>
      </c>
      <c r="L319" s="4">
        <v>56131.450042579032</v>
      </c>
      <c r="M319" s="4">
        <v>52483.201801766088</v>
      </c>
    </row>
    <row r="320" spans="1:14" hidden="1" outlineLevel="1" x14ac:dyDescent="0.35">
      <c r="B320" s="291">
        <f t="shared" ref="B320:B326" si="181">B319+1</f>
        <v>11</v>
      </c>
      <c r="C320" s="4">
        <v>155932.5315223962</v>
      </c>
      <c r="D320" s="27">
        <v>124526.30391696998</v>
      </c>
      <c r="E320" s="27">
        <v>106585.34671744514</v>
      </c>
      <c r="F320" s="27">
        <v>94389.132528702976</v>
      </c>
      <c r="G320" s="4">
        <v>85225.160612871754</v>
      </c>
      <c r="H320" s="326">
        <v>77890.504219919749</v>
      </c>
      <c r="I320" s="327">
        <v>71766.927333600106</v>
      </c>
      <c r="J320" s="4">
        <v>66502.031128151924</v>
      </c>
      <c r="K320" s="4">
        <v>61878.733176948619</v>
      </c>
      <c r="L320" s="4">
        <v>57754.911779068687</v>
      </c>
      <c r="M320" s="4">
        <v>54032.814365338767</v>
      </c>
    </row>
    <row r="321" spans="1:14" hidden="1" outlineLevel="1" x14ac:dyDescent="0.35">
      <c r="A321" s="288" t="s">
        <v>90</v>
      </c>
      <c r="B321" s="291">
        <f t="shared" si="181"/>
        <v>12</v>
      </c>
      <c r="C321" s="4">
        <v>158452.64104558807</v>
      </c>
      <c r="D321" s="329">
        <v>126921.55553021602</v>
      </c>
      <c r="E321" s="329">
        <v>108863.09059799866</v>
      </c>
      <c r="F321" s="329">
        <v>96556.218966138593</v>
      </c>
      <c r="G321" s="330">
        <v>87287.978488324181</v>
      </c>
      <c r="H321" s="326">
        <v>79855.016184964377</v>
      </c>
      <c r="I321" s="327">
        <v>73638.70200032022</v>
      </c>
      <c r="J321" s="4">
        <v>68286.272549891626</v>
      </c>
      <c r="K321" s="4">
        <v>63580.307870766061</v>
      </c>
      <c r="L321" s="4">
        <v>59378.373515558327</v>
      </c>
      <c r="M321" s="4">
        <v>55582.42692891146</v>
      </c>
    </row>
    <row r="322" spans="1:14" hidden="1" outlineLevel="1" x14ac:dyDescent="0.35">
      <c r="A322" s="16" t="s">
        <v>91</v>
      </c>
      <c r="B322" s="291">
        <f t="shared" si="181"/>
        <v>13</v>
      </c>
      <c r="C322" s="4">
        <v>160972.75056877994</v>
      </c>
      <c r="D322" s="331">
        <v>129316.80714346207</v>
      </c>
      <c r="E322" s="331">
        <v>111140.83447855221</v>
      </c>
      <c r="F322" s="331">
        <v>98723.30540357421</v>
      </c>
      <c r="G322" s="331">
        <v>89350.796363776622</v>
      </c>
      <c r="H322" s="326">
        <v>81819.528150008991</v>
      </c>
      <c r="I322" s="327">
        <v>75510.476667040333</v>
      </c>
      <c r="J322" s="328">
        <v>70070.513971631328</v>
      </c>
      <c r="K322" s="328">
        <v>65281.882564583488</v>
      </c>
      <c r="L322" s="328">
        <v>61001.835252047982</v>
      </c>
      <c r="M322" s="328">
        <v>57132.039492484153</v>
      </c>
      <c r="N322" s="15"/>
    </row>
    <row r="323" spans="1:14" hidden="1" outlineLevel="1" x14ac:dyDescent="0.35">
      <c r="A323" s="19"/>
      <c r="B323" s="291">
        <f t="shared" si="181"/>
        <v>14</v>
      </c>
      <c r="C323" s="332">
        <v>163492.86009197187</v>
      </c>
      <c r="D323" s="330">
        <v>131712.05875670811</v>
      </c>
      <c r="E323" s="330">
        <v>113418.57835910568</v>
      </c>
      <c r="F323" s="330">
        <v>100890.39184100983</v>
      </c>
      <c r="G323" s="330">
        <v>91413.614239229049</v>
      </c>
      <c r="H323" s="326">
        <v>83784.040115053635</v>
      </c>
      <c r="I323" s="327">
        <v>77382.251333760461</v>
      </c>
      <c r="J323" s="328">
        <v>71854.75539337103</v>
      </c>
      <c r="K323" s="328">
        <v>66983.457258400944</v>
      </c>
      <c r="L323" s="328">
        <v>62625.296988537637</v>
      </c>
      <c r="M323" s="328">
        <v>58681.652056056831</v>
      </c>
      <c r="N323" s="15"/>
    </row>
    <row r="324" spans="1:14" hidden="1" outlineLevel="1" x14ac:dyDescent="0.35">
      <c r="A324" s="19"/>
      <c r="B324" s="291">
        <f t="shared" si="181"/>
        <v>15</v>
      </c>
      <c r="C324" s="332">
        <v>166012.96961516381</v>
      </c>
      <c r="D324" s="4">
        <v>134107.31036995415</v>
      </c>
      <c r="E324" s="4">
        <v>115696.32223965923</v>
      </c>
      <c r="F324" s="4">
        <v>103057.47827844544</v>
      </c>
      <c r="G324" s="4">
        <v>93476.432114681505</v>
      </c>
      <c r="H324" s="326">
        <v>85748.552080098263</v>
      </c>
      <c r="I324" s="327">
        <v>79254.02600048059</v>
      </c>
      <c r="J324" s="328">
        <v>73638.996815110731</v>
      </c>
      <c r="K324" s="328">
        <v>68685.031952218385</v>
      </c>
      <c r="L324" s="328">
        <v>64248.758725027292</v>
      </c>
      <c r="M324" s="328">
        <v>60231.26461962951</v>
      </c>
      <c r="N324" s="15"/>
    </row>
    <row r="325" spans="1:14" hidden="1" outlineLevel="1" x14ac:dyDescent="0.35">
      <c r="A325" s="19"/>
      <c r="B325" s="291">
        <f t="shared" si="181"/>
        <v>16</v>
      </c>
      <c r="C325" s="332">
        <v>168533.07913835574</v>
      </c>
      <c r="D325" s="4">
        <v>136502.56198320014</v>
      </c>
      <c r="E325" s="4">
        <v>117974.06612021275</v>
      </c>
      <c r="F325" s="4">
        <v>105224.56471588106</v>
      </c>
      <c r="G325" s="4">
        <v>95539.249990133962</v>
      </c>
      <c r="H325" s="326">
        <v>87713.064045142877</v>
      </c>
      <c r="I325" s="327">
        <v>81125.800667200703</v>
      </c>
      <c r="J325" s="328">
        <v>75423.238236850433</v>
      </c>
      <c r="K325" s="328">
        <v>70386.606646035812</v>
      </c>
      <c r="L325" s="328">
        <v>65872.220461516932</v>
      </c>
      <c r="M325" s="328">
        <v>61780.877183202203</v>
      </c>
      <c r="N325" s="15"/>
    </row>
    <row r="326" spans="1:14" hidden="1" outlineLevel="1" x14ac:dyDescent="0.35">
      <c r="A326" s="19"/>
      <c r="B326" s="291">
        <f t="shared" si="181"/>
        <v>17</v>
      </c>
      <c r="C326" s="332">
        <v>171053.18866154767</v>
      </c>
      <c r="D326" s="4">
        <v>138897.81359644618</v>
      </c>
      <c r="E326" s="4">
        <v>120251.81000076627</v>
      </c>
      <c r="F326" s="4">
        <v>107391.65115331668</v>
      </c>
      <c r="G326" s="4">
        <v>97602.067865586389</v>
      </c>
      <c r="H326" s="326">
        <v>89677.57601018752</v>
      </c>
      <c r="I326" s="327">
        <v>82997.575333920831</v>
      </c>
      <c r="J326" s="328">
        <v>77207.479658590135</v>
      </c>
      <c r="K326" s="328">
        <v>72088.181339853254</v>
      </c>
      <c r="L326" s="328">
        <v>67495.682198006587</v>
      </c>
      <c r="M326" s="328">
        <v>63330.489746774881</v>
      </c>
      <c r="N326" s="15"/>
    </row>
    <row r="327" spans="1:14" hidden="1" outlineLevel="1" x14ac:dyDescent="0.35">
      <c r="A327" s="300"/>
      <c r="B327" s="301"/>
      <c r="C327" s="27"/>
      <c r="D327" s="27"/>
      <c r="E327" s="27"/>
      <c r="F327" s="27"/>
      <c r="G327" s="27"/>
      <c r="H327" s="10"/>
      <c r="I327" s="11"/>
      <c r="J327" s="15"/>
      <c r="K327" s="15"/>
      <c r="L327" s="15"/>
      <c r="M327" s="15"/>
      <c r="N327" s="15"/>
    </row>
    <row r="328" spans="1:14" collapsed="1" x14ac:dyDescent="0.35">
      <c r="A328" s="19"/>
      <c r="B328" s="20"/>
      <c r="C328" s="17"/>
      <c r="D328" s="17"/>
      <c r="E328" s="17"/>
      <c r="F328" s="17"/>
      <c r="G328" s="17"/>
      <c r="H328" s="10"/>
      <c r="I328" s="11"/>
      <c r="J328" s="15"/>
      <c r="K328" s="15"/>
      <c r="L328" s="15"/>
      <c r="M328" s="15"/>
      <c r="N328" s="15"/>
    </row>
    <row r="329" spans="1:14" ht="20" x14ac:dyDescent="0.4">
      <c r="A329" s="350" t="s">
        <v>181</v>
      </c>
      <c r="B329" s="350"/>
      <c r="C329" s="350"/>
      <c r="D329" s="350"/>
      <c r="E329" s="350"/>
      <c r="F329" s="350"/>
      <c r="G329" s="350"/>
      <c r="H329" s="350"/>
      <c r="I329" s="350"/>
      <c r="J329" s="350"/>
      <c r="K329" s="350"/>
      <c r="L329" s="350"/>
      <c r="M329" s="350"/>
    </row>
    <row r="330" spans="1:14" hidden="1" outlineLevel="1" x14ac:dyDescent="0.35"/>
    <row r="331" spans="1:14" hidden="1" outlineLevel="1" x14ac:dyDescent="0.35">
      <c r="A331" s="198" t="s">
        <v>183</v>
      </c>
      <c r="B331" s="198"/>
      <c r="C331" s="202"/>
      <c r="D331" s="339">
        <f>$D$2</f>
        <v>2013</v>
      </c>
      <c r="E331" s="339">
        <f>D331+1</f>
        <v>2014</v>
      </c>
      <c r="F331" s="339">
        <f t="shared" ref="F331:M331" si="182">E331+1</f>
        <v>2015</v>
      </c>
      <c r="G331" s="339">
        <f t="shared" si="182"/>
        <v>2016</v>
      </c>
      <c r="H331" s="339">
        <f t="shared" si="182"/>
        <v>2017</v>
      </c>
      <c r="I331" s="339">
        <f t="shared" si="182"/>
        <v>2018</v>
      </c>
      <c r="J331" s="339">
        <f t="shared" si="182"/>
        <v>2019</v>
      </c>
      <c r="K331" s="339">
        <f t="shared" si="182"/>
        <v>2020</v>
      </c>
      <c r="L331" s="339">
        <f t="shared" si="182"/>
        <v>2021</v>
      </c>
      <c r="M331" s="339">
        <f t="shared" si="182"/>
        <v>2022</v>
      </c>
    </row>
    <row r="332" spans="1:14" hidden="1" outlineLevel="1" x14ac:dyDescent="0.35"/>
    <row r="333" spans="1:14" hidden="1" outlineLevel="1" x14ac:dyDescent="0.35">
      <c r="A333" s="6" t="s">
        <v>98</v>
      </c>
      <c r="D333" s="6">
        <f t="shared" ref="D333:M333" si="183">D125</f>
        <v>19666.647000000001</v>
      </c>
      <c r="E333" s="6">
        <f t="shared" si="183"/>
        <v>21287.667000000001</v>
      </c>
      <c r="F333" s="6">
        <f t="shared" si="183"/>
        <v>21990.878000000001</v>
      </c>
      <c r="G333" s="6">
        <f t="shared" si="183"/>
        <v>22654.510999999999</v>
      </c>
      <c r="H333" s="6">
        <f t="shared" si="183"/>
        <v>22807.3</v>
      </c>
      <c r="I333" s="6">
        <f t="shared" si="183"/>
        <v>23442.394729363019</v>
      </c>
      <c r="J333" s="6">
        <f t="shared" si="183"/>
        <v>24102.893247900553</v>
      </c>
      <c r="K333" s="6">
        <f t="shared" si="183"/>
        <v>24859.111024838836</v>
      </c>
      <c r="L333" s="6">
        <f t="shared" si="183"/>
        <v>25643.498533324877</v>
      </c>
      <c r="M333" s="6">
        <f t="shared" si="183"/>
        <v>26457.161772825282</v>
      </c>
    </row>
    <row r="334" spans="1:14" hidden="1" outlineLevel="1" x14ac:dyDescent="0.35">
      <c r="A334" s="6" t="s">
        <v>1</v>
      </c>
      <c r="D334" s="6">
        <f t="shared" ref="D334:M334" si="184">D127</f>
        <v>11919.106</v>
      </c>
      <c r="E334" s="6">
        <f t="shared" si="184"/>
        <v>13090.778000000002</v>
      </c>
      <c r="F334" s="6">
        <f t="shared" si="184"/>
        <v>13659.456</v>
      </c>
      <c r="G334" s="6">
        <f t="shared" si="184"/>
        <v>13737.502999999999</v>
      </c>
      <c r="H334" s="6">
        <f t="shared" si="184"/>
        <v>13526.938</v>
      </c>
      <c r="I334" s="6">
        <f t="shared" si="184"/>
        <v>13903.610689367895</v>
      </c>
      <c r="J334" s="6">
        <f t="shared" si="184"/>
        <v>14295.350286310499</v>
      </c>
      <c r="K334" s="6">
        <f t="shared" si="184"/>
        <v>14743.860674788835</v>
      </c>
      <c r="L334" s="6">
        <f t="shared" si="184"/>
        <v>15209.078442576569</v>
      </c>
      <c r="M334" s="6">
        <f t="shared" si="184"/>
        <v>15691.659554483771</v>
      </c>
    </row>
    <row r="335" spans="1:14" hidden="1" outlineLevel="1" x14ac:dyDescent="0.35">
      <c r="A335" s="6" t="s">
        <v>231</v>
      </c>
      <c r="D335" s="11">
        <f>D510</f>
        <v>0.60605684334497889</v>
      </c>
      <c r="E335" s="11">
        <f t="shared" ref="E335:M335" si="185">E510</f>
        <v>0.61494657916247941</v>
      </c>
      <c r="F335" s="11">
        <f t="shared" si="185"/>
        <v>0.62114191165991639</v>
      </c>
      <c r="G335" s="11">
        <f t="shared" si="185"/>
        <v>0.60639150410264864</v>
      </c>
      <c r="H335" s="11">
        <f t="shared" si="185"/>
        <v>0.59309685933889589</v>
      </c>
      <c r="I335" s="11">
        <f t="shared" si="185"/>
        <v>0.593096859338896</v>
      </c>
      <c r="J335" s="11">
        <f t="shared" si="185"/>
        <v>0.59309685933889589</v>
      </c>
      <c r="K335" s="11">
        <f t="shared" si="185"/>
        <v>0.59309685933889589</v>
      </c>
      <c r="L335" s="11">
        <f t="shared" si="185"/>
        <v>0.59309685933889589</v>
      </c>
      <c r="M335" s="11">
        <f t="shared" si="185"/>
        <v>0.59309685933889589</v>
      </c>
    </row>
    <row r="336" spans="1:14" hidden="1" outlineLevel="1" x14ac:dyDescent="0.35">
      <c r="A336" s="6" t="s">
        <v>6</v>
      </c>
      <c r="D336" s="323">
        <f>D136</f>
        <v>4752.2248</v>
      </c>
      <c r="E336" s="323">
        <f t="shared" ref="E336:M336" si="186">E136</f>
        <v>5074.3568000000005</v>
      </c>
      <c r="F336" s="323">
        <f t="shared" si="186"/>
        <v>5451.6063999999997</v>
      </c>
      <c r="G336" s="323">
        <f t="shared" si="186"/>
        <v>5431.9887999999992</v>
      </c>
      <c r="H336" s="323">
        <f t="shared" si="186"/>
        <v>5210.8160000000007</v>
      </c>
      <c r="I336" s="323">
        <f t="shared" si="186"/>
        <v>5375.9661923691947</v>
      </c>
      <c r="J336" s="323">
        <f t="shared" si="186"/>
        <v>5547.7223924331502</v>
      </c>
      <c r="K336" s="323">
        <f t="shared" si="186"/>
        <v>5744.3694524073671</v>
      </c>
      <c r="L336" s="323">
        <f t="shared" si="186"/>
        <v>5948.3417764233263</v>
      </c>
      <c r="M336" s="323">
        <f t="shared" si="186"/>
        <v>6879.9269688591185</v>
      </c>
    </row>
    <row r="337" spans="1:13" hidden="1" outlineLevel="1" x14ac:dyDescent="0.35">
      <c r="A337" s="6" t="s">
        <v>276</v>
      </c>
      <c r="D337" s="11">
        <f>D512</f>
        <v>0.24163879079133316</v>
      </c>
      <c r="E337" s="11">
        <f t="shared" ref="E337:M337" si="187">E512</f>
        <v>0.23837073362712788</v>
      </c>
      <c r="F337" s="11">
        <f t="shared" si="187"/>
        <v>0.24790308054094062</v>
      </c>
      <c r="G337" s="11">
        <f t="shared" si="187"/>
        <v>0.23977515118291451</v>
      </c>
      <c r="H337" s="11">
        <f t="shared" si="187"/>
        <v>0.22847141046945499</v>
      </c>
      <c r="I337" s="11">
        <f t="shared" si="187"/>
        <v>0.22932666455084777</v>
      </c>
      <c r="J337" s="11">
        <f t="shared" si="187"/>
        <v>0.23016831777721858</v>
      </c>
      <c r="K337" s="11">
        <f t="shared" si="187"/>
        <v>0.23107702631311647</v>
      </c>
      <c r="L337" s="11">
        <f t="shared" si="187"/>
        <v>0.23196295812340853</v>
      </c>
      <c r="M337" s="11">
        <f t="shared" si="187"/>
        <v>0.26004025027074668</v>
      </c>
    </row>
    <row r="338" spans="1:13" hidden="1" outlineLevel="1" x14ac:dyDescent="0.35">
      <c r="A338" s="6" t="s">
        <v>219</v>
      </c>
      <c r="E338" s="11">
        <f>E333/D333-1</f>
        <v>8.2424828187540156E-2</v>
      </c>
      <c r="F338" s="11">
        <f t="shared" ref="F338:M338" si="188">F333/E333-1</f>
        <v>3.3033727932703982E-2</v>
      </c>
      <c r="G338" s="11">
        <f t="shared" si="188"/>
        <v>3.0177649114328187E-2</v>
      </c>
      <c r="H338" s="11">
        <f t="shared" si="188"/>
        <v>6.7443080100029196E-3</v>
      </c>
      <c r="I338" s="11">
        <f t="shared" si="188"/>
        <v>2.7846116347091554E-2</v>
      </c>
      <c r="J338" s="11">
        <f t="shared" si="188"/>
        <v>2.8175385926345609E-2</v>
      </c>
      <c r="K338" s="11">
        <f t="shared" si="188"/>
        <v>3.1374564420981077E-2</v>
      </c>
      <c r="L338" s="11">
        <f t="shared" si="188"/>
        <v>3.1553320941456464E-2</v>
      </c>
      <c r="M338" s="11">
        <f t="shared" si="188"/>
        <v>3.1729806229169988E-2</v>
      </c>
    </row>
    <row r="339" spans="1:13" hidden="1" outlineLevel="1" x14ac:dyDescent="0.35">
      <c r="A339" s="6" t="s">
        <v>220</v>
      </c>
      <c r="E339" s="11">
        <f>E510/D510-1</f>
        <v>1.4668155165835417E-2</v>
      </c>
      <c r="F339" s="11">
        <f t="shared" ref="F339:M339" si="189">F510/E510-1</f>
        <v>1.0074586488268089E-2</v>
      </c>
      <c r="G339" s="11">
        <f t="shared" si="189"/>
        <v>-2.3747242426210291E-2</v>
      </c>
      <c r="H339" s="11">
        <f t="shared" si="189"/>
        <v>-2.1924193650150858E-2</v>
      </c>
      <c r="I339" s="11">
        <f t="shared" si="189"/>
        <v>0</v>
      </c>
      <c r="J339" s="11">
        <f t="shared" si="189"/>
        <v>0</v>
      </c>
      <c r="K339" s="11">
        <f t="shared" si="189"/>
        <v>0</v>
      </c>
      <c r="L339" s="11">
        <f t="shared" si="189"/>
        <v>0</v>
      </c>
      <c r="M339" s="11">
        <f t="shared" si="189"/>
        <v>0</v>
      </c>
    </row>
    <row r="340" spans="1:13" hidden="1" outlineLevel="1" x14ac:dyDescent="0.35">
      <c r="A340" s="6" t="s">
        <v>221</v>
      </c>
      <c r="E340" s="11">
        <f>E512/D512-1</f>
        <v>-1.3524555198703214E-2</v>
      </c>
      <c r="F340" s="11">
        <f t="shared" ref="F340:M340" si="190">F512/E512-1</f>
        <v>3.9989585838686725E-2</v>
      </c>
      <c r="G340" s="11">
        <f t="shared" si="190"/>
        <v>-3.2786721892646309E-2</v>
      </c>
      <c r="H340" s="11">
        <f t="shared" si="190"/>
        <v>-4.7143086586300842E-2</v>
      </c>
      <c r="I340" s="11">
        <f t="shared" si="190"/>
        <v>3.7433746289543546E-3</v>
      </c>
      <c r="J340" s="11">
        <f t="shared" si="190"/>
        <v>3.6701062565891451E-3</v>
      </c>
      <c r="K340" s="11">
        <f t="shared" si="190"/>
        <v>3.9480174538071289E-3</v>
      </c>
      <c r="L340" s="11">
        <f t="shared" si="190"/>
        <v>3.8339242304927801E-3</v>
      </c>
      <c r="M340" s="11">
        <f t="shared" si="190"/>
        <v>0.12104213696223209</v>
      </c>
    </row>
    <row r="341" spans="1:13" hidden="1" outlineLevel="1" x14ac:dyDescent="0.35">
      <c r="A341" s="6" t="s">
        <v>90</v>
      </c>
      <c r="D341" s="6">
        <f>D133+D131+D130</f>
        <v>7771.4009999999998</v>
      </c>
      <c r="E341" s="6">
        <f t="shared" ref="E341:M341" si="191">E133+E131+E130</f>
        <v>8190.6220000000012</v>
      </c>
      <c r="F341" s="6">
        <f t="shared" si="191"/>
        <v>8687.1640000000007</v>
      </c>
      <c r="G341" s="6">
        <f t="shared" si="191"/>
        <v>8707.8739999999998</v>
      </c>
      <c r="H341" s="6">
        <f t="shared" si="191"/>
        <v>8445.3029999999999</v>
      </c>
      <c r="I341" s="6">
        <f t="shared" si="191"/>
        <v>8680.4718899244435</v>
      </c>
      <c r="J341" s="6">
        <f t="shared" si="191"/>
        <v>8925.0475354458576</v>
      </c>
      <c r="K341" s="6">
        <f t="shared" si="191"/>
        <v>9205.0670143070201</v>
      </c>
      <c r="L341" s="6">
        <f t="shared" si="191"/>
        <v>9495.5174480970654</v>
      </c>
      <c r="M341" s="6">
        <f t="shared" si="191"/>
        <v>9796.8083767708886</v>
      </c>
    </row>
    <row r="342" spans="1:13" hidden="1" outlineLevel="1" x14ac:dyDescent="0.35">
      <c r="A342" s="6" t="s">
        <v>68</v>
      </c>
      <c r="D342" s="6">
        <f>D133+D131</f>
        <v>6840.2809999999999</v>
      </c>
      <c r="E342" s="6">
        <f t="shared" ref="E342:M342" si="192">E133+E131</f>
        <v>7242.9460000000008</v>
      </c>
      <c r="F342" s="6">
        <f t="shared" si="192"/>
        <v>7714.5079999999998</v>
      </c>
      <c r="G342" s="6">
        <f t="shared" si="192"/>
        <v>7689.985999999999</v>
      </c>
      <c r="H342" s="6">
        <f t="shared" si="192"/>
        <v>7413.52</v>
      </c>
      <c r="I342" s="6">
        <f t="shared" si="192"/>
        <v>7619.9577404614929</v>
      </c>
      <c r="J342" s="6">
        <f t="shared" si="192"/>
        <v>7834.6529905414372</v>
      </c>
      <c r="K342" s="6">
        <f t="shared" si="192"/>
        <v>8080.4618155092094</v>
      </c>
      <c r="L342" s="6">
        <f t="shared" si="192"/>
        <v>8335.4272205291581</v>
      </c>
      <c r="M342" s="6">
        <f t="shared" si="192"/>
        <v>8599.9087110738983</v>
      </c>
    </row>
    <row r="343" spans="1:13" hidden="1" outlineLevel="1" x14ac:dyDescent="0.35">
      <c r="A343" s="6" t="s">
        <v>264</v>
      </c>
      <c r="E343" s="11">
        <f t="shared" ref="E343:M343" si="193">E341/D341-1</f>
        <v>5.3944070058925098E-2</v>
      </c>
      <c r="F343" s="11">
        <f t="shared" si="193"/>
        <v>6.0623234718925945E-2</v>
      </c>
      <c r="G343" s="11">
        <f t="shared" si="193"/>
        <v>2.3839770954017236E-3</v>
      </c>
      <c r="H343" s="11">
        <f t="shared" si="193"/>
        <v>-3.0153284257443347E-2</v>
      </c>
      <c r="I343" s="11">
        <f t="shared" si="193"/>
        <v>2.7846116347091776E-2</v>
      </c>
      <c r="J343" s="11">
        <f t="shared" si="193"/>
        <v>2.8175385926345387E-2</v>
      </c>
      <c r="K343" s="11">
        <f t="shared" si="193"/>
        <v>3.1374564420980855E-2</v>
      </c>
      <c r="L343" s="11">
        <f t="shared" si="193"/>
        <v>3.1553320941456686E-2</v>
      </c>
      <c r="M343" s="11">
        <f t="shared" si="193"/>
        <v>3.1729806229169988E-2</v>
      </c>
    </row>
    <row r="344" spans="1:13" hidden="1" outlineLevel="1" x14ac:dyDescent="0.35">
      <c r="A344" s="6" t="s">
        <v>265</v>
      </c>
      <c r="E344" s="11">
        <f t="shared" ref="E344:M344" si="194">E342/D342-1</f>
        <v>5.8866733691203654E-2</v>
      </c>
      <c r="F344" s="11">
        <f t="shared" si="194"/>
        <v>6.5106380746176917E-2</v>
      </c>
      <c r="G344" s="11">
        <f t="shared" si="194"/>
        <v>-3.1786861845241043E-3</v>
      </c>
      <c r="H344" s="11">
        <f t="shared" si="194"/>
        <v>-3.5951430860862277E-2</v>
      </c>
      <c r="I344" s="11">
        <f t="shared" si="194"/>
        <v>2.7846116347091776E-2</v>
      </c>
      <c r="J344" s="11">
        <f t="shared" si="194"/>
        <v>2.8175385926345164E-2</v>
      </c>
      <c r="K344" s="11">
        <f t="shared" si="194"/>
        <v>3.1374564420980855E-2</v>
      </c>
      <c r="L344" s="11">
        <f t="shared" si="194"/>
        <v>3.1553320941456908E-2</v>
      </c>
      <c r="M344" s="11">
        <f t="shared" si="194"/>
        <v>3.172980622917021E-2</v>
      </c>
    </row>
    <row r="345" spans="1:13" hidden="1" outlineLevel="1" x14ac:dyDescent="0.35"/>
    <row r="346" spans="1:13" hidden="1" outlineLevel="1" x14ac:dyDescent="0.35"/>
    <row r="347" spans="1:13" hidden="1" outlineLevel="1" x14ac:dyDescent="0.35"/>
    <row r="348" spans="1:13" hidden="1" outlineLevel="1" x14ac:dyDescent="0.35"/>
    <row r="349" spans="1:13" hidden="1" outlineLevel="1" x14ac:dyDescent="0.35"/>
    <row r="350" spans="1:13" hidden="1" outlineLevel="1" x14ac:dyDescent="0.35"/>
    <row r="351" spans="1:13" hidden="1" outlineLevel="1" x14ac:dyDescent="0.35"/>
    <row r="352" spans="1:13" hidden="1" outlineLevel="1" x14ac:dyDescent="0.35"/>
    <row r="353" hidden="1" outlineLevel="1" x14ac:dyDescent="0.35"/>
    <row r="354" hidden="1" outlineLevel="1" x14ac:dyDescent="0.35"/>
    <row r="355" hidden="1" outlineLevel="1" x14ac:dyDescent="0.35"/>
    <row r="356" hidden="1" outlineLevel="1" x14ac:dyDescent="0.35"/>
    <row r="357" hidden="1" outlineLevel="1" x14ac:dyDescent="0.35"/>
    <row r="358" hidden="1" outlineLevel="1" x14ac:dyDescent="0.35"/>
    <row r="359" hidden="1" outlineLevel="1" x14ac:dyDescent="0.35"/>
    <row r="360" hidden="1" outlineLevel="1" x14ac:dyDescent="0.35"/>
    <row r="361" hidden="1" outlineLevel="1" x14ac:dyDescent="0.35"/>
    <row r="362" hidden="1" outlineLevel="1" x14ac:dyDescent="0.35"/>
    <row r="363" hidden="1" outlineLevel="1" x14ac:dyDescent="0.35"/>
    <row r="364" hidden="1" outlineLevel="1" x14ac:dyDescent="0.35"/>
    <row r="365" hidden="1" outlineLevel="1" x14ac:dyDescent="0.35"/>
    <row r="366" hidden="1" outlineLevel="1" x14ac:dyDescent="0.35"/>
    <row r="367" hidden="1" outlineLevel="1" x14ac:dyDescent="0.35"/>
    <row r="368" hidden="1" outlineLevel="1" x14ac:dyDescent="0.35"/>
    <row r="369" hidden="1" outlineLevel="1" x14ac:dyDescent="0.35"/>
    <row r="370" hidden="1" outlineLevel="1" x14ac:dyDescent="0.35"/>
    <row r="371" hidden="1" outlineLevel="1" x14ac:dyDescent="0.35"/>
    <row r="372" hidden="1" outlineLevel="1" x14ac:dyDescent="0.35"/>
    <row r="373" hidden="1" outlineLevel="1" x14ac:dyDescent="0.35"/>
    <row r="374" hidden="1" outlineLevel="1" x14ac:dyDescent="0.35"/>
    <row r="375" hidden="1" outlineLevel="1" x14ac:dyDescent="0.35"/>
    <row r="376" hidden="1" outlineLevel="1" x14ac:dyDescent="0.35"/>
    <row r="377" hidden="1" outlineLevel="1" x14ac:dyDescent="0.35"/>
    <row r="378" hidden="1" outlineLevel="1" x14ac:dyDescent="0.35"/>
    <row r="379" hidden="1" outlineLevel="1" x14ac:dyDescent="0.35"/>
    <row r="380" hidden="1" outlineLevel="1" x14ac:dyDescent="0.35"/>
    <row r="381" hidden="1" outlineLevel="1" x14ac:dyDescent="0.35"/>
    <row r="382" hidden="1" outlineLevel="1" x14ac:dyDescent="0.35"/>
    <row r="383" hidden="1" outlineLevel="1" x14ac:dyDescent="0.35"/>
    <row r="384" hidden="1" outlineLevel="1" x14ac:dyDescent="0.35"/>
    <row r="385" spans="1:13" hidden="1" outlineLevel="1" x14ac:dyDescent="0.35">
      <c r="A385" s="198" t="s">
        <v>183</v>
      </c>
      <c r="B385" s="198"/>
      <c r="C385" s="202"/>
      <c r="D385" s="339">
        <f>$D$2</f>
        <v>2013</v>
      </c>
      <c r="E385" s="339">
        <f>D385+1</f>
        <v>2014</v>
      </c>
      <c r="F385" s="339">
        <f t="shared" ref="F385:M385" si="195">E385+1</f>
        <v>2015</v>
      </c>
      <c r="G385" s="339">
        <f t="shared" si="195"/>
        <v>2016</v>
      </c>
      <c r="H385" s="339">
        <f t="shared" si="195"/>
        <v>2017</v>
      </c>
      <c r="I385" s="339">
        <f t="shared" si="195"/>
        <v>2018</v>
      </c>
      <c r="J385" s="339">
        <f t="shared" si="195"/>
        <v>2019</v>
      </c>
      <c r="K385" s="339">
        <f t="shared" si="195"/>
        <v>2020</v>
      </c>
      <c r="L385" s="339">
        <f t="shared" si="195"/>
        <v>2021</v>
      </c>
      <c r="M385" s="339">
        <f t="shared" si="195"/>
        <v>2022</v>
      </c>
    </row>
    <row r="386" spans="1:13" hidden="1" outlineLevel="1" x14ac:dyDescent="0.35">
      <c r="A386" s="39"/>
      <c r="B386" s="39"/>
      <c r="C386" s="21"/>
      <c r="D386" s="39"/>
      <c r="E386" s="39"/>
      <c r="F386" s="39"/>
      <c r="G386" s="39"/>
      <c r="H386" s="39"/>
      <c r="I386" s="39"/>
      <c r="J386" s="39"/>
      <c r="K386" s="39"/>
      <c r="L386" s="39"/>
      <c r="M386" s="39"/>
    </row>
    <row r="387" spans="1:13" hidden="1" outlineLevel="1" x14ac:dyDescent="0.35">
      <c r="A387" s="6" t="s">
        <v>194</v>
      </c>
      <c r="D387" s="203">
        <f>D522</f>
        <v>3.0944777680878612</v>
      </c>
      <c r="E387" s="203">
        <f t="shared" ref="E387:M387" si="196">E522</f>
        <v>2.935326014242313</v>
      </c>
      <c r="F387" s="203">
        <f t="shared" si="196"/>
        <v>3.3059494228352793</v>
      </c>
      <c r="G387" s="203">
        <f t="shared" si="196"/>
        <v>3.7818356311945882</v>
      </c>
      <c r="H387" s="203">
        <f t="shared" si="196"/>
        <v>4.3076464484589705</v>
      </c>
      <c r="I387" s="203">
        <f t="shared" si="196"/>
        <v>4.4147250437714751</v>
      </c>
      <c r="J387" s="203">
        <f t="shared" si="196"/>
        <v>11.163140196798402</v>
      </c>
      <c r="K387" s="203">
        <f t="shared" si="196"/>
        <v>17.768535040728217</v>
      </c>
      <c r="L387" s="203">
        <f t="shared" si="196"/>
        <v>3.1100678403418067</v>
      </c>
      <c r="M387" s="203">
        <f t="shared" si="196"/>
        <v>5.1246744492577019</v>
      </c>
    </row>
    <row r="388" spans="1:13" hidden="1" outlineLevel="1" x14ac:dyDescent="0.35">
      <c r="A388" s="6" t="s">
        <v>195</v>
      </c>
      <c r="D388" s="203">
        <f t="shared" ref="D388:M390" si="197">D523</f>
        <v>4.679108627913088</v>
      </c>
      <c r="E388" s="203">
        <f t="shared" si="197"/>
        <v>4.5428100679343553</v>
      </c>
      <c r="F388" s="203">
        <f t="shared" si="197"/>
        <v>4.7821591388117861</v>
      </c>
      <c r="G388" s="203">
        <f t="shared" si="197"/>
        <v>5.2775017293364099</v>
      </c>
      <c r="H388" s="203">
        <f t="shared" si="197"/>
        <v>5.8986610304940958</v>
      </c>
      <c r="I388" s="203">
        <f t="shared" si="197"/>
        <v>5.8813917104381428</v>
      </c>
      <c r="J388" s="203">
        <f t="shared" si="197"/>
        <v>12.629806863465069</v>
      </c>
      <c r="K388" s="203">
        <f t="shared" si="197"/>
        <v>19.235201707394886</v>
      </c>
      <c r="L388" s="203">
        <f t="shared" si="197"/>
        <v>4.5767345070084735</v>
      </c>
      <c r="M388" s="203">
        <f t="shared" si="197"/>
        <v>6.5913411159243696</v>
      </c>
    </row>
    <row r="389" spans="1:13" hidden="1" outlineLevel="1" x14ac:dyDescent="0.35">
      <c r="A389" s="6" t="s">
        <v>196</v>
      </c>
      <c r="D389" s="203">
        <f t="shared" si="197"/>
        <v>0.81524994531256445</v>
      </c>
      <c r="E389" s="203">
        <f t="shared" si="197"/>
        <v>0.87810744162406096</v>
      </c>
      <c r="F389" s="203">
        <f t="shared" si="197"/>
        <v>0.887746201371021</v>
      </c>
      <c r="G389" s="203">
        <f t="shared" si="197"/>
        <v>0.89832626566018103</v>
      </c>
      <c r="H389" s="203">
        <f t="shared" si="197"/>
        <v>0.89876115087359798</v>
      </c>
      <c r="I389" s="203">
        <f t="shared" si="197"/>
        <v>0.90749951106970017</v>
      </c>
      <c r="J389" s="203">
        <f t="shared" si="197"/>
        <v>0.76756733999599425</v>
      </c>
      <c r="K389" s="203">
        <f t="shared" si="197"/>
        <v>0.66881202870074985</v>
      </c>
      <c r="L389" s="203">
        <f t="shared" si="197"/>
        <v>1.01978839982769</v>
      </c>
      <c r="M389" s="203">
        <f t="shared" si="197"/>
        <v>0.97797368444981958</v>
      </c>
    </row>
    <row r="390" spans="1:13" hidden="1" outlineLevel="1" x14ac:dyDescent="0.35">
      <c r="A390" s="6" t="s">
        <v>197</v>
      </c>
      <c r="D390" s="203">
        <f t="shared" si="197"/>
        <v>0.83676785753034388</v>
      </c>
      <c r="E390" s="203">
        <f t="shared" si="197"/>
        <v>0.90288185667172705</v>
      </c>
      <c r="F390" s="203">
        <f t="shared" si="197"/>
        <v>0.915177952015228</v>
      </c>
      <c r="G390" s="203">
        <f t="shared" si="197"/>
        <v>0.92614584763327112</v>
      </c>
      <c r="H390" s="203">
        <f t="shared" si="197"/>
        <v>0.9244249667576987</v>
      </c>
      <c r="I390" s="203">
        <f t="shared" si="197"/>
        <v>0.93590468502294211</v>
      </c>
      <c r="J390" s="203">
        <f t="shared" si="197"/>
        <v>0.78779038724757977</v>
      </c>
      <c r="K390" s="203">
        <f t="shared" si="197"/>
        <v>0.68407140286060875</v>
      </c>
      <c r="L390" s="203">
        <f t="shared" si="197"/>
        <v>1.055797316305858</v>
      </c>
      <c r="M390" s="203">
        <f t="shared" si="197"/>
        <v>1.0110422932232039</v>
      </c>
    </row>
    <row r="391" spans="1:13" hidden="1" outlineLevel="1" x14ac:dyDescent="0.35">
      <c r="A391" s="6" t="s">
        <v>206</v>
      </c>
      <c r="D391" s="203">
        <f>D536</f>
        <v>0.92676336305356455</v>
      </c>
      <c r="E391" s="203">
        <f t="shared" ref="E391:M391" si="198">E536</f>
        <v>1.0031516740237614</v>
      </c>
      <c r="F391" s="203">
        <f t="shared" si="198"/>
        <v>1.0362895134986989</v>
      </c>
      <c r="G391" s="203">
        <f t="shared" si="198"/>
        <v>1.0675622948179204</v>
      </c>
      <c r="H391" s="203">
        <f t="shared" si="198"/>
        <v>1.0747622637540382</v>
      </c>
      <c r="I391" s="203">
        <f t="shared" si="198"/>
        <v>1.1046902187959964</v>
      </c>
      <c r="J391" s="203">
        <f t="shared" si="198"/>
        <v>1.1358152920396329</v>
      </c>
      <c r="K391" s="203">
        <f t="shared" si="198"/>
        <v>1.1714510020900657</v>
      </c>
      <c r="L391" s="203">
        <f t="shared" si="198"/>
        <v>1.2084141715262045</v>
      </c>
      <c r="M391" s="203">
        <f t="shared" si="198"/>
        <v>1.2467569190333139</v>
      </c>
    </row>
    <row r="392" spans="1:13" hidden="1" outlineLevel="1" x14ac:dyDescent="0.35"/>
    <row r="393" spans="1:13" hidden="1" outlineLevel="1" x14ac:dyDescent="0.35"/>
    <row r="394" spans="1:13" hidden="1" outlineLevel="1" x14ac:dyDescent="0.35"/>
    <row r="395" spans="1:13" hidden="1" outlineLevel="1" x14ac:dyDescent="0.35"/>
    <row r="396" spans="1:13" hidden="1" outlineLevel="1" x14ac:dyDescent="0.35"/>
    <row r="397" spans="1:13" hidden="1" outlineLevel="1" x14ac:dyDescent="0.35"/>
    <row r="398" spans="1:13" hidden="1" outlineLevel="1" x14ac:dyDescent="0.35"/>
    <row r="399" spans="1:13" hidden="1" outlineLevel="1" x14ac:dyDescent="0.35"/>
    <row r="400" spans="1:13" hidden="1" outlineLevel="1" x14ac:dyDescent="0.35"/>
    <row r="401" spans="1:13" hidden="1" outlineLevel="1" x14ac:dyDescent="0.35"/>
    <row r="402" spans="1:13" hidden="1" outlineLevel="1" x14ac:dyDescent="0.35"/>
    <row r="403" spans="1:13" hidden="1" outlineLevel="1" x14ac:dyDescent="0.35"/>
    <row r="404" spans="1:13" hidden="1" outlineLevel="1" x14ac:dyDescent="0.35"/>
    <row r="405" spans="1:13" hidden="1" outlineLevel="1" x14ac:dyDescent="0.35"/>
    <row r="406" spans="1:13" hidden="1" outlineLevel="1" x14ac:dyDescent="0.35"/>
    <row r="407" spans="1:13" hidden="1" outlineLevel="1" x14ac:dyDescent="0.35"/>
    <row r="408" spans="1:13" hidden="1" outlineLevel="1" x14ac:dyDescent="0.35"/>
    <row r="409" spans="1:13" hidden="1" outlineLevel="1" x14ac:dyDescent="0.35"/>
    <row r="410" spans="1:13" hidden="1" outlineLevel="1" x14ac:dyDescent="0.35"/>
    <row r="411" spans="1:13" hidden="1" outlineLevel="1" x14ac:dyDescent="0.35"/>
    <row r="412" spans="1:13" hidden="1" outlineLevel="1" x14ac:dyDescent="0.35"/>
    <row r="413" spans="1:13" hidden="1" outlineLevel="1" x14ac:dyDescent="0.35">
      <c r="A413" s="198" t="s">
        <v>183</v>
      </c>
      <c r="B413" s="198"/>
      <c r="C413" s="202"/>
      <c r="D413" s="339">
        <f>$D$2</f>
        <v>2013</v>
      </c>
      <c r="E413" s="339">
        <f>D413+1</f>
        <v>2014</v>
      </c>
      <c r="F413" s="339">
        <f t="shared" ref="F413:M413" si="199">E413+1</f>
        <v>2015</v>
      </c>
      <c r="G413" s="339">
        <f t="shared" si="199"/>
        <v>2016</v>
      </c>
      <c r="H413" s="339">
        <f t="shared" si="199"/>
        <v>2017</v>
      </c>
      <c r="I413" s="339">
        <f t="shared" si="199"/>
        <v>2018</v>
      </c>
      <c r="J413" s="339">
        <f t="shared" si="199"/>
        <v>2019</v>
      </c>
      <c r="K413" s="339">
        <f t="shared" si="199"/>
        <v>2020</v>
      </c>
      <c r="L413" s="339">
        <f t="shared" si="199"/>
        <v>2021</v>
      </c>
      <c r="M413" s="339">
        <f t="shared" si="199"/>
        <v>2022</v>
      </c>
    </row>
    <row r="414" spans="1:13" hidden="1" outlineLevel="1" x14ac:dyDescent="0.35"/>
    <row r="415" spans="1:13" hidden="1" outlineLevel="1" x14ac:dyDescent="0.35">
      <c r="A415" s="6" t="s">
        <v>200</v>
      </c>
      <c r="D415" s="203">
        <f>D530</f>
        <v>7.8813585874564227</v>
      </c>
      <c r="E415" s="203">
        <f t="shared" ref="E415:M415" si="200">E530</f>
        <v>7.6656588422332366</v>
      </c>
      <c r="F415" s="203">
        <f t="shared" si="200"/>
        <v>7.6009758242640482</v>
      </c>
      <c r="G415" s="203">
        <f t="shared" si="200"/>
        <v>7.8703255365664866</v>
      </c>
      <c r="H415" s="203">
        <f t="shared" si="200"/>
        <v>8.2796429543254533</v>
      </c>
      <c r="I415" s="203">
        <f t="shared" si="200"/>
        <v>8.295454545454545</v>
      </c>
      <c r="J415" s="203">
        <f t="shared" si="200"/>
        <v>8.295454545454545</v>
      </c>
      <c r="K415" s="203">
        <f t="shared" si="200"/>
        <v>8.3181818181818183</v>
      </c>
      <c r="L415" s="203">
        <f t="shared" si="200"/>
        <v>8.2954545454545467</v>
      </c>
      <c r="M415" s="203">
        <f t="shared" si="200"/>
        <v>8.295454545454545</v>
      </c>
    </row>
    <row r="416" spans="1:13" hidden="1" outlineLevel="1" x14ac:dyDescent="0.35">
      <c r="A416" s="6" t="s">
        <v>201</v>
      </c>
      <c r="D416" s="203">
        <f>D531</f>
        <v>46.311812354397347</v>
      </c>
      <c r="E416" s="203">
        <f t="shared" ref="E416:M416" si="201">E531</f>
        <v>47.614954893252794</v>
      </c>
      <c r="F416" s="203">
        <f t="shared" si="201"/>
        <v>48.020150101627316</v>
      </c>
      <c r="G416" s="203">
        <f t="shared" si="201"/>
        <v>46.376734774713675</v>
      </c>
      <c r="H416" s="203">
        <f t="shared" si="201"/>
        <v>44.084026571377287</v>
      </c>
      <c r="I416" s="203">
        <f t="shared" si="201"/>
        <v>44</v>
      </c>
      <c r="J416" s="203">
        <f t="shared" si="201"/>
        <v>44</v>
      </c>
      <c r="K416" s="203">
        <f t="shared" si="201"/>
        <v>43.879781420765028</v>
      </c>
      <c r="L416" s="203">
        <f t="shared" si="201"/>
        <v>44</v>
      </c>
      <c r="M416" s="203">
        <f t="shared" si="201"/>
        <v>44</v>
      </c>
    </row>
    <row r="417" spans="1:13" hidden="1" outlineLevel="1" x14ac:dyDescent="0.35">
      <c r="A417" s="6" t="s">
        <v>202</v>
      </c>
      <c r="D417" s="203">
        <f>D532</f>
        <v>12.166717395742468</v>
      </c>
      <c r="E417" s="203">
        <f t="shared" ref="E417:M417" si="202">E532</f>
        <v>12.115083138839044</v>
      </c>
      <c r="F417" s="203">
        <f t="shared" si="202"/>
        <v>12.205626907920298</v>
      </c>
      <c r="G417" s="203">
        <f t="shared" si="202"/>
        <v>12.163881164557697</v>
      </c>
      <c r="H417" s="203">
        <f t="shared" si="202"/>
        <v>12.383897398584995</v>
      </c>
      <c r="I417" s="203">
        <f t="shared" si="202"/>
        <v>12.586206896551722</v>
      </c>
      <c r="J417" s="203">
        <f t="shared" si="202"/>
        <v>12.586206896551724</v>
      </c>
      <c r="K417" s="203">
        <f t="shared" si="202"/>
        <v>12.620689655172413</v>
      </c>
      <c r="L417" s="203">
        <f t="shared" si="202"/>
        <v>12.586206896551722</v>
      </c>
      <c r="M417" s="203">
        <f t="shared" si="202"/>
        <v>12.586206896551722</v>
      </c>
    </row>
    <row r="418" spans="1:13" hidden="1" outlineLevel="1" x14ac:dyDescent="0.35">
      <c r="A418" s="6" t="s">
        <v>203</v>
      </c>
      <c r="D418" s="203">
        <f>D533</f>
        <v>29.999874915129155</v>
      </c>
      <c r="E418" s="203">
        <f t="shared" ref="E418:M418" si="203">E533</f>
        <v>30.127733818835104</v>
      </c>
      <c r="F418" s="203">
        <f t="shared" si="203"/>
        <v>29.904240294543946</v>
      </c>
      <c r="G418" s="203">
        <f t="shared" si="203"/>
        <v>30.006869934204271</v>
      </c>
      <c r="H418" s="203">
        <f t="shared" si="203"/>
        <v>29.473758401915173</v>
      </c>
      <c r="I418" s="203">
        <f t="shared" si="203"/>
        <v>29.000000000000004</v>
      </c>
      <c r="J418" s="203">
        <f t="shared" si="203"/>
        <v>29.000000000000004</v>
      </c>
      <c r="K418" s="203">
        <f t="shared" si="203"/>
        <v>28.920765027322407</v>
      </c>
      <c r="L418" s="203">
        <f t="shared" si="203"/>
        <v>29.000000000000004</v>
      </c>
      <c r="M418" s="203">
        <f t="shared" si="203"/>
        <v>29.000000000000004</v>
      </c>
    </row>
    <row r="419" spans="1:13" hidden="1" outlineLevel="1" x14ac:dyDescent="0.35">
      <c r="A419" s="6" t="s">
        <v>204</v>
      </c>
      <c r="D419" s="203">
        <f>D534</f>
        <v>12.489044035032007</v>
      </c>
      <c r="E419" s="203">
        <f t="shared" ref="E419:M419" si="204">E534</f>
        <v>12.322424349933328</v>
      </c>
      <c r="F419" s="203">
        <f t="shared" si="204"/>
        <v>11.220634362681126</v>
      </c>
      <c r="G419" s="203">
        <f t="shared" si="204"/>
        <v>11.771379086382334</v>
      </c>
      <c r="H419" s="203">
        <f t="shared" si="204"/>
        <v>13.173032674376186</v>
      </c>
      <c r="I419" s="203">
        <f t="shared" si="204"/>
        <v>12.166666666666668</v>
      </c>
      <c r="J419" s="203">
        <f t="shared" si="204"/>
        <v>12.166666666666668</v>
      </c>
      <c r="K419" s="203">
        <f t="shared" si="204"/>
        <v>12.200000000000001</v>
      </c>
      <c r="L419" s="203">
        <f t="shared" si="204"/>
        <v>12.166666666666668</v>
      </c>
      <c r="M419" s="203">
        <f t="shared" si="204"/>
        <v>12.166666666666668</v>
      </c>
    </row>
    <row r="420" spans="1:13" hidden="1" outlineLevel="1" x14ac:dyDescent="0.35">
      <c r="A420" s="6" t="s">
        <v>205</v>
      </c>
      <c r="D420" s="203">
        <f t="shared" ref="D420:M420" si="205">D535</f>
        <v>29.225615585641947</v>
      </c>
      <c r="E420" s="203">
        <f t="shared" si="205"/>
        <v>29.620794547785142</v>
      </c>
      <c r="F420" s="203">
        <f t="shared" si="205"/>
        <v>32.529355132893279</v>
      </c>
      <c r="G420" s="203">
        <f t="shared" si="205"/>
        <v>31.007411903185464</v>
      </c>
      <c r="H420" s="203">
        <f t="shared" si="205"/>
        <v>27.708122269368371</v>
      </c>
      <c r="I420" s="203">
        <f t="shared" si="205"/>
        <v>30</v>
      </c>
      <c r="J420" s="203">
        <f t="shared" si="205"/>
        <v>30</v>
      </c>
      <c r="K420" s="203">
        <f t="shared" si="205"/>
        <v>29.918032786885245</v>
      </c>
      <c r="L420" s="203">
        <f t="shared" si="205"/>
        <v>30</v>
      </c>
      <c r="M420" s="203">
        <f t="shared" si="205"/>
        <v>30</v>
      </c>
    </row>
    <row r="421" spans="1:13" hidden="1" outlineLevel="1" x14ac:dyDescent="0.35">
      <c r="A421" s="6" t="s">
        <v>206</v>
      </c>
      <c r="D421" s="203">
        <f t="shared" ref="D421:M421" si="206">D536</f>
        <v>0.92676336305356455</v>
      </c>
      <c r="E421" s="203">
        <f t="shared" si="206"/>
        <v>1.0031516740237614</v>
      </c>
      <c r="F421" s="203">
        <f t="shared" si="206"/>
        <v>1.0362895134986989</v>
      </c>
      <c r="G421" s="203">
        <f t="shared" si="206"/>
        <v>1.0675622948179204</v>
      </c>
      <c r="H421" s="203">
        <f t="shared" si="206"/>
        <v>1.0747622637540382</v>
      </c>
      <c r="I421" s="203">
        <f t="shared" si="206"/>
        <v>1.1046902187959964</v>
      </c>
      <c r="J421" s="203">
        <f t="shared" si="206"/>
        <v>1.1358152920396329</v>
      </c>
      <c r="K421" s="203">
        <f t="shared" si="206"/>
        <v>1.1714510020900657</v>
      </c>
      <c r="L421" s="203">
        <f t="shared" si="206"/>
        <v>1.2084141715262045</v>
      </c>
      <c r="M421" s="203">
        <f t="shared" si="206"/>
        <v>1.2467569190333139</v>
      </c>
    </row>
    <row r="422" spans="1:13" hidden="1" outlineLevel="1" x14ac:dyDescent="0.35">
      <c r="A422" s="6" t="s">
        <v>207</v>
      </c>
      <c r="D422" s="203">
        <f t="shared" ref="D422:M422" si="207">D537</f>
        <v>9.9371468098695175</v>
      </c>
      <c r="E422" s="203">
        <f t="shared" si="207"/>
        <v>9.8498380544322188</v>
      </c>
      <c r="F422" s="203">
        <f t="shared" si="207"/>
        <v>10.203210704823945</v>
      </c>
      <c r="G422" s="203">
        <f t="shared" si="207"/>
        <v>10.123039023806077</v>
      </c>
      <c r="H422" s="203">
        <f t="shared" si="207"/>
        <v>10.100404861168313</v>
      </c>
      <c r="I422" s="203">
        <f t="shared" si="207"/>
        <v>10.519749412174411</v>
      </c>
      <c r="J422" s="203">
        <f t="shared" si="207"/>
        <v>10.519749412174415</v>
      </c>
      <c r="K422" s="203">
        <f t="shared" si="207"/>
        <v>10.548570643440645</v>
      </c>
      <c r="L422" s="203">
        <f t="shared" si="207"/>
        <v>10.519749412174415</v>
      </c>
      <c r="M422" s="203">
        <f t="shared" si="207"/>
        <v>10.519749412174413</v>
      </c>
    </row>
    <row r="423" spans="1:13" hidden="1" outlineLevel="1" x14ac:dyDescent="0.35">
      <c r="A423" s="6" t="s">
        <v>232</v>
      </c>
      <c r="D423" s="6">
        <f t="shared" ref="D423:M423" si="208">D198</f>
        <v>21220.786</v>
      </c>
      <c r="E423" s="6">
        <f t="shared" si="208"/>
        <v>21220.786</v>
      </c>
      <c r="F423" s="6">
        <f t="shared" si="208"/>
        <v>21220.786</v>
      </c>
      <c r="G423" s="6">
        <f t="shared" si="208"/>
        <v>21220.786</v>
      </c>
      <c r="H423" s="6">
        <f t="shared" si="208"/>
        <v>21220.786</v>
      </c>
      <c r="I423" s="6">
        <f t="shared" si="208"/>
        <v>21220.786</v>
      </c>
      <c r="J423" s="6">
        <f t="shared" si="208"/>
        <v>21220.786</v>
      </c>
      <c r="K423" s="6">
        <f t="shared" si="208"/>
        <v>21220.786</v>
      </c>
      <c r="L423" s="6">
        <f t="shared" si="208"/>
        <v>21220.786</v>
      </c>
      <c r="M423" s="6">
        <f t="shared" si="208"/>
        <v>21220.786</v>
      </c>
    </row>
    <row r="424" spans="1:13" hidden="1" outlineLevel="1" x14ac:dyDescent="0.35">
      <c r="A424" s="6" t="s">
        <v>233</v>
      </c>
      <c r="D424" s="6">
        <f t="shared" ref="D424:M424" si="209">D191</f>
        <v>1979.104</v>
      </c>
      <c r="E424" s="6">
        <f t="shared" si="209"/>
        <v>2161.2200000000003</v>
      </c>
      <c r="F424" s="6">
        <f t="shared" si="209"/>
        <v>2155.29</v>
      </c>
      <c r="G424" s="6">
        <f t="shared" si="209"/>
        <v>2237.9159999999997</v>
      </c>
      <c r="H424" s="6">
        <f t="shared" si="209"/>
        <v>2258.058</v>
      </c>
      <c r="I424" s="6">
        <f t="shared" si="209"/>
        <v>2228.4175992094779</v>
      </c>
      <c r="J424" s="6">
        <f t="shared" si="209"/>
        <v>2291.204125072265</v>
      </c>
      <c r="K424" s="6">
        <f t="shared" si="209"/>
        <v>2356.6331273798532</v>
      </c>
      <c r="L424" s="6">
        <f t="shared" si="209"/>
        <v>2437.6529828408156</v>
      </c>
      <c r="M424" s="6">
        <f t="shared" si="209"/>
        <v>2514.9992396403136</v>
      </c>
    </row>
    <row r="425" spans="1:13" hidden="1" outlineLevel="1" x14ac:dyDescent="0.35"/>
    <row r="426" spans="1:13" hidden="1" outlineLevel="1" x14ac:dyDescent="0.35"/>
    <row r="427" spans="1:13" hidden="1" outlineLevel="1" x14ac:dyDescent="0.35"/>
    <row r="428" spans="1:13" hidden="1" outlineLevel="1" x14ac:dyDescent="0.35"/>
    <row r="429" spans="1:13" hidden="1" outlineLevel="1" x14ac:dyDescent="0.35"/>
    <row r="430" spans="1:13" hidden="1" outlineLevel="1" x14ac:dyDescent="0.35"/>
    <row r="431" spans="1:13" hidden="1" outlineLevel="1" x14ac:dyDescent="0.35"/>
    <row r="432" spans="1:13" hidden="1" outlineLevel="1" x14ac:dyDescent="0.35"/>
    <row r="433" spans="1:13" hidden="1" outlineLevel="1" x14ac:dyDescent="0.35"/>
    <row r="434" spans="1:13" hidden="1" outlineLevel="1" x14ac:dyDescent="0.35"/>
    <row r="435" spans="1:13" hidden="1" outlineLevel="1" x14ac:dyDescent="0.35"/>
    <row r="436" spans="1:13" hidden="1" outlineLevel="1" x14ac:dyDescent="0.35"/>
    <row r="437" spans="1:13" hidden="1" outlineLevel="1" x14ac:dyDescent="0.35"/>
    <row r="438" spans="1:13" hidden="1" outlineLevel="1" x14ac:dyDescent="0.35"/>
    <row r="439" spans="1:13" hidden="1" outlineLevel="1" x14ac:dyDescent="0.35"/>
    <row r="440" spans="1:13" hidden="1" outlineLevel="1" x14ac:dyDescent="0.35"/>
    <row r="441" spans="1:13" hidden="1" outlineLevel="1" x14ac:dyDescent="0.35"/>
    <row r="442" spans="1:13" hidden="1" outlineLevel="1" x14ac:dyDescent="0.35"/>
    <row r="443" spans="1:13" hidden="1" outlineLevel="1" x14ac:dyDescent="0.35"/>
    <row r="444" spans="1:13" hidden="1" outlineLevel="1" x14ac:dyDescent="0.35"/>
    <row r="445" spans="1:13" hidden="1" outlineLevel="1" x14ac:dyDescent="0.35"/>
    <row r="446" spans="1:13" hidden="1" outlineLevel="1" x14ac:dyDescent="0.35"/>
    <row r="447" spans="1:13" hidden="1" outlineLevel="1" x14ac:dyDescent="0.35">
      <c r="A447" s="198" t="s">
        <v>183</v>
      </c>
      <c r="B447" s="198"/>
      <c r="C447" s="202"/>
      <c r="D447" s="339">
        <f>$D$2</f>
        <v>2013</v>
      </c>
      <c r="E447" s="339">
        <f>D447+1</f>
        <v>2014</v>
      </c>
      <c r="F447" s="339">
        <f t="shared" ref="F447:M447" si="210">E447+1</f>
        <v>2015</v>
      </c>
      <c r="G447" s="339">
        <f t="shared" si="210"/>
        <v>2016</v>
      </c>
      <c r="H447" s="339">
        <f t="shared" si="210"/>
        <v>2017</v>
      </c>
      <c r="I447" s="339">
        <f t="shared" si="210"/>
        <v>2018</v>
      </c>
      <c r="J447" s="339">
        <f t="shared" si="210"/>
        <v>2019</v>
      </c>
      <c r="K447" s="339">
        <f t="shared" si="210"/>
        <v>2020</v>
      </c>
      <c r="L447" s="339">
        <f t="shared" si="210"/>
        <v>2021</v>
      </c>
      <c r="M447" s="339">
        <f t="shared" si="210"/>
        <v>2022</v>
      </c>
    </row>
    <row r="448" spans="1:13" hidden="1" outlineLevel="1" x14ac:dyDescent="0.35"/>
    <row r="449" spans="1:13" hidden="1" outlineLevel="1" x14ac:dyDescent="0.35">
      <c r="A449" s="6" t="s">
        <v>234</v>
      </c>
      <c r="D449" s="6">
        <f t="shared" ref="D449:M449" si="211">D203</f>
        <v>18000</v>
      </c>
      <c r="E449" s="6">
        <f t="shared" si="211"/>
        <v>18000</v>
      </c>
      <c r="F449" s="6">
        <f t="shared" si="211"/>
        <v>18000</v>
      </c>
      <c r="G449" s="6">
        <f t="shared" si="211"/>
        <v>18000</v>
      </c>
      <c r="H449" s="6">
        <f t="shared" si="211"/>
        <v>18000</v>
      </c>
      <c r="I449" s="6">
        <f t="shared" si="211"/>
        <v>18000</v>
      </c>
      <c r="J449" s="6">
        <f t="shared" si="211"/>
        <v>18000</v>
      </c>
      <c r="K449" s="6">
        <f t="shared" si="211"/>
        <v>18000</v>
      </c>
      <c r="L449" s="6">
        <f t="shared" si="211"/>
        <v>0</v>
      </c>
      <c r="M449" s="6">
        <f t="shared" si="211"/>
        <v>0</v>
      </c>
    </row>
    <row r="450" spans="1:13" hidden="1" outlineLevel="1" x14ac:dyDescent="0.35">
      <c r="A450" s="6" t="s">
        <v>235</v>
      </c>
      <c r="D450" s="6">
        <f t="shared" ref="D450:M450" si="212">D155</f>
        <v>5503.11</v>
      </c>
      <c r="E450" s="6">
        <f t="shared" si="212"/>
        <v>5577.4668000000001</v>
      </c>
      <c r="F450" s="6">
        <f t="shared" si="212"/>
        <v>6029.0731999999989</v>
      </c>
      <c r="G450" s="6">
        <f t="shared" si="212"/>
        <v>6461.0619999999972</v>
      </c>
      <c r="H450" s="6">
        <f t="shared" si="212"/>
        <v>6671.8779999999961</v>
      </c>
      <c r="I450" s="6">
        <f t="shared" si="212"/>
        <v>7047.8441923691889</v>
      </c>
      <c r="J450" s="6">
        <f t="shared" si="212"/>
        <v>12595.566584802338</v>
      </c>
      <c r="K450" s="6">
        <f t="shared" si="212"/>
        <v>18339.936037209707</v>
      </c>
      <c r="L450" s="6">
        <f t="shared" si="212"/>
        <v>24288.277813633034</v>
      </c>
      <c r="M450" s="6">
        <f t="shared" si="212"/>
        <v>26168.204782492154</v>
      </c>
    </row>
    <row r="451" spans="1:13" hidden="1" outlineLevel="1" x14ac:dyDescent="0.35">
      <c r="A451" s="6" t="s">
        <v>209</v>
      </c>
      <c r="D451" s="11">
        <f t="shared" ref="D451:M451" si="213">D541</f>
        <v>3.2708777400415405</v>
      </c>
      <c r="E451" s="11">
        <f t="shared" si="213"/>
        <v>3.2272715634990421</v>
      </c>
      <c r="F451" s="11">
        <f t="shared" si="213"/>
        <v>2.9855334979180554</v>
      </c>
      <c r="G451" s="11">
        <f t="shared" si="213"/>
        <v>2.785919714127493</v>
      </c>
      <c r="H451" s="11">
        <f t="shared" si="213"/>
        <v>2.6978910585595255</v>
      </c>
      <c r="I451" s="11">
        <f t="shared" si="213"/>
        <v>2.5539724643017623</v>
      </c>
      <c r="J451" s="11">
        <f t="shared" si="213"/>
        <v>1.4290742602812792</v>
      </c>
      <c r="K451" s="11">
        <f t="shared" si="213"/>
        <v>0.98146470977215983</v>
      </c>
      <c r="L451" s="11">
        <f t="shared" si="213"/>
        <v>0</v>
      </c>
      <c r="M451" s="11">
        <f t="shared" si="213"/>
        <v>0</v>
      </c>
    </row>
    <row r="452" spans="1:13" hidden="1" outlineLevel="1" x14ac:dyDescent="0.35">
      <c r="A452" s="6" t="s">
        <v>210</v>
      </c>
      <c r="D452" s="11">
        <f t="shared" ref="D452:M452" si="214">D542</f>
        <v>0.76585609308725522</v>
      </c>
      <c r="E452" s="11">
        <f t="shared" si="214"/>
        <v>0.76344079508999663</v>
      </c>
      <c r="F452" s="11">
        <f t="shared" si="214"/>
        <v>0.74909256175556538</v>
      </c>
      <c r="G452" s="11">
        <f t="shared" si="214"/>
        <v>0.73586338974162291</v>
      </c>
      <c r="H452" s="11">
        <f t="shared" si="214"/>
        <v>0.72957559209720491</v>
      </c>
      <c r="I452" s="11">
        <f t="shared" si="214"/>
        <v>0.71862471922768068</v>
      </c>
      <c r="J452" s="11">
        <f t="shared" si="214"/>
        <v>0.58832053167275211</v>
      </c>
      <c r="K452" s="11">
        <f t="shared" si="214"/>
        <v>0.49532283110155129</v>
      </c>
      <c r="L452" s="11">
        <f t="shared" si="214"/>
        <v>0</v>
      </c>
      <c r="M452" s="11">
        <f t="shared" si="214"/>
        <v>0</v>
      </c>
    </row>
    <row r="453" spans="1:13" hidden="1" outlineLevel="1" x14ac:dyDescent="0.35">
      <c r="A453" s="6" t="s">
        <v>211</v>
      </c>
      <c r="D453" s="11">
        <f t="shared" ref="D453:M453" si="215">D543</f>
        <v>3.2708777400415405</v>
      </c>
      <c r="E453" s="11">
        <f t="shared" si="215"/>
        <v>3.2272715634990421</v>
      </c>
      <c r="F453" s="11">
        <f t="shared" si="215"/>
        <v>2.9855334979180554</v>
      </c>
      <c r="G453" s="11">
        <f t="shared" si="215"/>
        <v>2.785919714127493</v>
      </c>
      <c r="H453" s="11">
        <f t="shared" si="215"/>
        <v>2.6978910585595255</v>
      </c>
      <c r="I453" s="11">
        <f t="shared" si="215"/>
        <v>2.5539724643017623</v>
      </c>
      <c r="J453" s="11">
        <f t="shared" si="215"/>
        <v>1.4290742602812792</v>
      </c>
      <c r="K453" s="11">
        <f t="shared" si="215"/>
        <v>0.98146470977215983</v>
      </c>
      <c r="L453" s="11">
        <f t="shared" si="215"/>
        <v>0</v>
      </c>
      <c r="M453" s="11">
        <f t="shared" si="215"/>
        <v>0</v>
      </c>
    </row>
    <row r="454" spans="1:13" hidden="1" outlineLevel="1" x14ac:dyDescent="0.35">
      <c r="A454" s="6" t="s">
        <v>212</v>
      </c>
      <c r="D454" s="11">
        <f t="shared" ref="D454:M454" si="216">D544</f>
        <v>3.3836043618971821</v>
      </c>
      <c r="E454" s="11">
        <f t="shared" si="216"/>
        <v>3.3465373563496605</v>
      </c>
      <c r="F454" s="11">
        <f t="shared" si="216"/>
        <v>3.1086882474739239</v>
      </c>
      <c r="G454" s="11">
        <f t="shared" si="216"/>
        <v>2.9031629784701041</v>
      </c>
      <c r="H454" s="11">
        <f t="shared" si="216"/>
        <v>2.803483067286304</v>
      </c>
      <c r="I454" s="11">
        <f t="shared" si="216"/>
        <v>2.665213522662806</v>
      </c>
      <c r="J454" s="11">
        <f t="shared" si="216"/>
        <v>1.4930729233087274</v>
      </c>
      <c r="K454" s="11">
        <f t="shared" si="216"/>
        <v>1.0266730943308326</v>
      </c>
      <c r="L454" s="11">
        <f t="shared" si="216"/>
        <v>3.5310184430664561E-2</v>
      </c>
      <c r="M454" s="11">
        <f t="shared" si="216"/>
        <v>3.381339324277205E-2</v>
      </c>
    </row>
    <row r="455" spans="1:13" hidden="1" outlineLevel="1" x14ac:dyDescent="0.35">
      <c r="A455" s="6" t="s">
        <v>213</v>
      </c>
      <c r="D455" s="11">
        <f t="shared" ref="D455:M455" si="217">D545</f>
        <v>4.3836043618971825</v>
      </c>
      <c r="E455" s="11">
        <f t="shared" si="217"/>
        <v>4.3465373563496605</v>
      </c>
      <c r="F455" s="11">
        <f t="shared" si="217"/>
        <v>4.1086882474739248</v>
      </c>
      <c r="G455" s="11">
        <f t="shared" si="217"/>
        <v>3.903162978470105</v>
      </c>
      <c r="H455" s="11">
        <f t="shared" si="217"/>
        <v>3.8034830672863045</v>
      </c>
      <c r="I455" s="11">
        <f t="shared" si="217"/>
        <v>3.6652135226628069</v>
      </c>
      <c r="J455" s="11">
        <f t="shared" si="217"/>
        <v>2.4930729233087279</v>
      </c>
      <c r="K455" s="11">
        <f t="shared" si="217"/>
        <v>2.0266730943308326</v>
      </c>
      <c r="L455" s="11">
        <f t="shared" si="217"/>
        <v>1.0353101844306647</v>
      </c>
      <c r="M455" s="11">
        <f t="shared" si="217"/>
        <v>1.033813393242772</v>
      </c>
    </row>
    <row r="456" spans="1:13" hidden="1" outlineLevel="1" x14ac:dyDescent="0.35">
      <c r="A456" s="6" t="s">
        <v>214</v>
      </c>
      <c r="D456" s="237">
        <f t="shared" ref="D456:M456" si="218">D546</f>
        <v>2.3161846879346464</v>
      </c>
      <c r="E456" s="237">
        <f t="shared" si="218"/>
        <v>2.1976352955856098</v>
      </c>
      <c r="F456" s="237">
        <f t="shared" si="218"/>
        <v>2.0720225841252677</v>
      </c>
      <c r="G456" s="237">
        <f t="shared" si="218"/>
        <v>2.0670946777594623</v>
      </c>
      <c r="H456" s="237">
        <f t="shared" si="218"/>
        <v>2.1313622495249729</v>
      </c>
      <c r="I456" s="237">
        <f t="shared" si="218"/>
        <v>2.0736199861314999</v>
      </c>
      <c r="J456" s="237">
        <f t="shared" si="218"/>
        <v>2.0167959810312421</v>
      </c>
      <c r="K456" s="237">
        <f t="shared" si="218"/>
        <v>1.9554447536366018</v>
      </c>
      <c r="L456" s="237">
        <f t="shared" si="218"/>
        <v>0</v>
      </c>
      <c r="M456" s="237">
        <f t="shared" si="218"/>
        <v>0</v>
      </c>
    </row>
    <row r="457" spans="1:13" hidden="1" outlineLevel="1" x14ac:dyDescent="0.35">
      <c r="A457" s="6" t="s">
        <v>90</v>
      </c>
      <c r="D457" s="6">
        <f t="shared" ref="D457:M457" si="219">D133+D131+D130</f>
        <v>7771.4009999999998</v>
      </c>
      <c r="E457" s="6">
        <f t="shared" si="219"/>
        <v>8190.6220000000012</v>
      </c>
      <c r="F457" s="6">
        <f t="shared" si="219"/>
        <v>8687.1640000000007</v>
      </c>
      <c r="G457" s="6">
        <f t="shared" si="219"/>
        <v>8707.8739999999998</v>
      </c>
      <c r="H457" s="6">
        <f t="shared" si="219"/>
        <v>8445.3029999999999</v>
      </c>
      <c r="I457" s="6">
        <f t="shared" si="219"/>
        <v>8680.4718899244435</v>
      </c>
      <c r="J457" s="6">
        <f t="shared" si="219"/>
        <v>8925.0475354458576</v>
      </c>
      <c r="K457" s="6">
        <f t="shared" si="219"/>
        <v>9205.0670143070201</v>
      </c>
      <c r="L457" s="6">
        <f t="shared" si="219"/>
        <v>9495.5174480970654</v>
      </c>
      <c r="M457" s="6">
        <f t="shared" si="219"/>
        <v>9796.8083767708886</v>
      </c>
    </row>
    <row r="458" spans="1:13" hidden="1" outlineLevel="1" x14ac:dyDescent="0.35">
      <c r="A458" s="6" t="s">
        <v>215</v>
      </c>
      <c r="D458" s="11">
        <f t="shared" ref="D458:M458" si="220">D547</f>
        <v>0.86842645791890716</v>
      </c>
      <c r="E458" s="11">
        <f t="shared" si="220"/>
        <v>0.87574116940813862</v>
      </c>
      <c r="F458" s="11">
        <f t="shared" si="220"/>
        <v>0.88333669496486356</v>
      </c>
      <c r="G458" s="11">
        <f t="shared" si="220"/>
        <v>0.88296467639863063</v>
      </c>
      <c r="H458" s="11">
        <f t="shared" si="220"/>
        <v>0.87860017913218014</v>
      </c>
      <c r="I458" s="11">
        <f t="shared" si="220"/>
        <v>0.88188910875173798</v>
      </c>
      <c r="J458" s="11">
        <f t="shared" si="220"/>
        <v>0.88512573548738593</v>
      </c>
      <c r="K458" s="11">
        <f t="shared" si="220"/>
        <v>0.88862022733990431</v>
      </c>
      <c r="L458" s="11">
        <f t="shared" si="220"/>
        <v>0.89202712996120848</v>
      </c>
      <c r="M458" s="11">
        <f t="shared" si="220"/>
        <v>1</v>
      </c>
    </row>
    <row r="459" spans="1:13" hidden="1" outlineLevel="1" x14ac:dyDescent="0.35">
      <c r="A459" s="6" t="s">
        <v>225</v>
      </c>
      <c r="D459" s="10"/>
      <c r="E459" s="11">
        <f t="shared" ref="E459:M459" si="221">E548</f>
        <v>0.98534655663157145</v>
      </c>
      <c r="F459" s="11">
        <f t="shared" si="221"/>
        <v>0.91716085739425357</v>
      </c>
      <c r="G459" s="11">
        <f t="shared" si="221"/>
        <v>0.92047317917886751</v>
      </c>
      <c r="H459" s="11">
        <f t="shared" si="221"/>
        <v>0.95954261290362208</v>
      </c>
      <c r="I459" s="11">
        <f t="shared" si="221"/>
        <v>0.93006537263890321</v>
      </c>
      <c r="J459" s="11">
        <f t="shared" si="221"/>
        <v>0</v>
      </c>
      <c r="K459" s="11">
        <f t="shared" si="221"/>
        <v>0</v>
      </c>
      <c r="L459" s="11">
        <f t="shared" si="221"/>
        <v>0</v>
      </c>
      <c r="M459" s="11">
        <f t="shared" si="221"/>
        <v>0.72675190051169081</v>
      </c>
    </row>
    <row r="460" spans="1:13" hidden="1" outlineLevel="1" x14ac:dyDescent="0.35">
      <c r="A460" s="6" t="s">
        <v>6</v>
      </c>
      <c r="D460" s="6">
        <f t="shared" ref="D460:M460" si="222">D136</f>
        <v>4752.2248</v>
      </c>
      <c r="E460" s="6">
        <f t="shared" si="222"/>
        <v>5074.3568000000005</v>
      </c>
      <c r="F460" s="6">
        <f t="shared" si="222"/>
        <v>5451.6063999999997</v>
      </c>
      <c r="G460" s="6">
        <f t="shared" si="222"/>
        <v>5431.9887999999992</v>
      </c>
      <c r="H460" s="6">
        <f t="shared" si="222"/>
        <v>5210.8160000000007</v>
      </c>
      <c r="I460" s="6">
        <f t="shared" si="222"/>
        <v>5375.9661923691947</v>
      </c>
      <c r="J460" s="6">
        <f t="shared" si="222"/>
        <v>5547.7223924331502</v>
      </c>
      <c r="K460" s="6">
        <f t="shared" si="222"/>
        <v>5744.3694524073671</v>
      </c>
      <c r="L460" s="6">
        <f t="shared" si="222"/>
        <v>5948.3417764233263</v>
      </c>
      <c r="M460" s="6">
        <f t="shared" si="222"/>
        <v>6879.9269688591185</v>
      </c>
    </row>
    <row r="461" spans="1:13" hidden="1" outlineLevel="1" x14ac:dyDescent="0.35">
      <c r="A461" s="6" t="s">
        <v>217</v>
      </c>
      <c r="D461" s="11">
        <f>D551</f>
        <v>0.86355257299963117</v>
      </c>
      <c r="E461" s="11">
        <f t="shared" ref="E461:M461" si="223">E551</f>
        <v>0.90979596687155539</v>
      </c>
      <c r="F461" s="11">
        <f t="shared" si="223"/>
        <v>0.90421964025913648</v>
      </c>
      <c r="G461" s="11">
        <f t="shared" si="223"/>
        <v>0.84072692693554119</v>
      </c>
      <c r="H461" s="11">
        <f t="shared" si="223"/>
        <v>0.78101188301105084</v>
      </c>
      <c r="I461" s="11">
        <f t="shared" si="223"/>
        <v>0.76278164579600627</v>
      </c>
      <c r="J461" s="11">
        <f t="shared" si="223"/>
        <v>0.44045040412290515</v>
      </c>
      <c r="K461" s="11">
        <f t="shared" si="223"/>
        <v>0.31321643874616983</v>
      </c>
      <c r="L461" s="11">
        <f t="shared" si="223"/>
        <v>0.24490586866906291</v>
      </c>
      <c r="M461" s="11">
        <f t="shared" si="223"/>
        <v>0.26291169096407163</v>
      </c>
    </row>
    <row r="462" spans="1:13" hidden="1" outlineLevel="1" x14ac:dyDescent="0.35">
      <c r="A462" s="6" t="s">
        <v>236</v>
      </c>
      <c r="D462" s="11">
        <f>D552</f>
        <v>0.19699601097802855</v>
      </c>
      <c r="E462" s="11">
        <f t="shared" ref="E462:M462" si="224">E552</f>
        <v>0.20931511506336775</v>
      </c>
      <c r="F462" s="11">
        <f t="shared" si="224"/>
        <v>0.22007501805839433</v>
      </c>
      <c r="G462" s="11">
        <f t="shared" si="224"/>
        <v>0.21539631616025293</v>
      </c>
      <c r="H462" s="11">
        <f t="shared" si="224"/>
        <v>0.20534122781524156</v>
      </c>
      <c r="I462" s="11">
        <f t="shared" si="224"/>
        <v>0.20811383595513949</v>
      </c>
      <c r="J462" s="11">
        <f t="shared" si="224"/>
        <v>0.17666968342761238</v>
      </c>
      <c r="K462" s="11">
        <f t="shared" si="224"/>
        <v>0.15454709475461198</v>
      </c>
      <c r="L462" s="11">
        <f t="shared" si="224"/>
        <v>0.23655313388396826</v>
      </c>
      <c r="M462" s="11">
        <f t="shared" si="224"/>
        <v>0.25431252166253532</v>
      </c>
    </row>
    <row r="463" spans="1:13" hidden="1" outlineLevel="1" x14ac:dyDescent="0.35"/>
    <row r="464" spans="1:13" hidden="1" outlineLevel="1" x14ac:dyDescent="0.35"/>
    <row r="465" hidden="1" outlineLevel="1" x14ac:dyDescent="0.35"/>
    <row r="466" hidden="1" outlineLevel="1" x14ac:dyDescent="0.35"/>
    <row r="467" hidden="1" outlineLevel="1" x14ac:dyDescent="0.35"/>
    <row r="468" hidden="1" outlineLevel="1" x14ac:dyDescent="0.35"/>
    <row r="469" hidden="1" outlineLevel="1" x14ac:dyDescent="0.35"/>
    <row r="470" hidden="1" outlineLevel="1" x14ac:dyDescent="0.35"/>
    <row r="471" hidden="1" outlineLevel="1" x14ac:dyDescent="0.35"/>
    <row r="472" hidden="1" outlineLevel="1" x14ac:dyDescent="0.35"/>
    <row r="473" hidden="1" outlineLevel="1" x14ac:dyDescent="0.35"/>
    <row r="474" hidden="1" outlineLevel="1" x14ac:dyDescent="0.35"/>
    <row r="475" hidden="1" outlineLevel="1" x14ac:dyDescent="0.35"/>
    <row r="476" hidden="1" outlineLevel="1" x14ac:dyDescent="0.35"/>
    <row r="477" hidden="1" outlineLevel="1" x14ac:dyDescent="0.35"/>
    <row r="478" hidden="1" outlineLevel="1" x14ac:dyDescent="0.35"/>
    <row r="479" hidden="1" outlineLevel="1" x14ac:dyDescent="0.35"/>
    <row r="480" hidden="1" outlineLevel="1" x14ac:dyDescent="0.35"/>
    <row r="481" hidden="1" outlineLevel="1" x14ac:dyDescent="0.35"/>
    <row r="482" hidden="1" outlineLevel="1" x14ac:dyDescent="0.35"/>
    <row r="483" hidden="1" outlineLevel="1" x14ac:dyDescent="0.35"/>
    <row r="484" hidden="1" outlineLevel="1" x14ac:dyDescent="0.35"/>
    <row r="485" hidden="1" outlineLevel="1" x14ac:dyDescent="0.35"/>
    <row r="486" hidden="1" outlineLevel="1" x14ac:dyDescent="0.35"/>
    <row r="487" hidden="1" outlineLevel="1" x14ac:dyDescent="0.35"/>
    <row r="488" hidden="1" outlineLevel="1" x14ac:dyDescent="0.35"/>
    <row r="489" hidden="1" outlineLevel="1" x14ac:dyDescent="0.35"/>
    <row r="490" hidden="1" outlineLevel="1" x14ac:dyDescent="0.35"/>
    <row r="491" hidden="1" outlineLevel="1" x14ac:dyDescent="0.35"/>
    <row r="492" hidden="1" outlineLevel="1" x14ac:dyDescent="0.35"/>
    <row r="493" hidden="1" outlineLevel="1" x14ac:dyDescent="0.35"/>
    <row r="494" hidden="1" outlineLevel="1" x14ac:dyDescent="0.35"/>
    <row r="495" hidden="1" outlineLevel="1" x14ac:dyDescent="0.35"/>
    <row r="496" hidden="1" outlineLevel="1" x14ac:dyDescent="0.35"/>
    <row r="497" spans="1:13" hidden="1" outlineLevel="1" x14ac:dyDescent="0.35"/>
    <row r="498" spans="1:13" hidden="1" outlineLevel="1" x14ac:dyDescent="0.35"/>
    <row r="499" spans="1:13" hidden="1" outlineLevel="1" x14ac:dyDescent="0.35"/>
    <row r="500" spans="1:13" hidden="1" outlineLevel="1" x14ac:dyDescent="0.35"/>
    <row r="501" spans="1:13" hidden="1" outlineLevel="1" x14ac:dyDescent="0.35"/>
    <row r="502" spans="1:13" hidden="1" outlineLevel="1" x14ac:dyDescent="0.35"/>
    <row r="503" spans="1:13" hidden="1" outlineLevel="1" x14ac:dyDescent="0.35">
      <c r="A503" s="39"/>
      <c r="B503" s="39"/>
      <c r="C503" s="21"/>
      <c r="D503" s="39"/>
      <c r="E503" s="39"/>
      <c r="F503" s="39"/>
      <c r="G503" s="39"/>
      <c r="H503" s="39"/>
      <c r="I503" s="39"/>
      <c r="J503" s="39"/>
      <c r="K503" s="39"/>
      <c r="L503" s="39"/>
      <c r="M503" s="39"/>
    </row>
    <row r="504" spans="1:13" collapsed="1" x14ac:dyDescent="0.35"/>
    <row r="505" spans="1:13" ht="20" x14ac:dyDescent="0.4">
      <c r="A505" s="350" t="s">
        <v>182</v>
      </c>
      <c r="B505" s="350"/>
      <c r="C505" s="350"/>
      <c r="D505" s="350"/>
      <c r="E505" s="350"/>
      <c r="F505" s="350"/>
      <c r="G505" s="350"/>
      <c r="H505" s="350"/>
      <c r="I505" s="350"/>
      <c r="J505" s="350"/>
      <c r="K505" s="350"/>
      <c r="L505" s="350"/>
      <c r="M505" s="350"/>
    </row>
    <row r="506" spans="1:13" hidden="1" outlineLevel="1" x14ac:dyDescent="0.35"/>
    <row r="507" spans="1:13" hidden="1" outlineLevel="1" x14ac:dyDescent="0.35">
      <c r="A507" s="198" t="s">
        <v>183</v>
      </c>
      <c r="B507" s="44"/>
      <c r="C507" s="45"/>
      <c r="D507" s="198">
        <f t="shared" ref="D507:M507" si="225">D2</f>
        <v>2013</v>
      </c>
      <c r="E507" s="198">
        <f t="shared" si="225"/>
        <v>2014</v>
      </c>
      <c r="F507" s="198">
        <f t="shared" si="225"/>
        <v>2015</v>
      </c>
      <c r="G507" s="198">
        <f t="shared" si="225"/>
        <v>2016</v>
      </c>
      <c r="H507" s="198">
        <f t="shared" si="225"/>
        <v>2017</v>
      </c>
      <c r="I507" s="198">
        <f t="shared" si="225"/>
        <v>2018</v>
      </c>
      <c r="J507" s="198">
        <f t="shared" si="225"/>
        <v>2019</v>
      </c>
      <c r="K507" s="198">
        <f t="shared" si="225"/>
        <v>2020</v>
      </c>
      <c r="L507" s="198">
        <f t="shared" si="225"/>
        <v>2021</v>
      </c>
      <c r="M507" s="198">
        <f t="shared" si="225"/>
        <v>2022</v>
      </c>
    </row>
    <row r="508" spans="1:13" hidden="1" outlineLevel="1" x14ac:dyDescent="0.35"/>
    <row r="509" spans="1:13" hidden="1" outlineLevel="1" x14ac:dyDescent="0.35">
      <c r="A509" s="199" t="s">
        <v>0</v>
      </c>
      <c r="B509" s="199"/>
    </row>
    <row r="510" spans="1:13" hidden="1" outlineLevel="1" x14ac:dyDescent="0.35">
      <c r="A510" s="201" t="s">
        <v>184</v>
      </c>
      <c r="B510" s="200"/>
      <c r="D510" s="11">
        <f>D127/D125</f>
        <v>0.60605684334497889</v>
      </c>
      <c r="E510" s="11">
        <f t="shared" ref="E510:M510" si="226">E127/E125</f>
        <v>0.61494657916247941</v>
      </c>
      <c r="F510" s="11">
        <f t="shared" si="226"/>
        <v>0.62114191165991639</v>
      </c>
      <c r="G510" s="11">
        <f t="shared" si="226"/>
        <v>0.60639150410264864</v>
      </c>
      <c r="H510" s="11">
        <f t="shared" si="226"/>
        <v>0.59309685933889589</v>
      </c>
      <c r="I510" s="11">
        <f t="shared" si="226"/>
        <v>0.593096859338896</v>
      </c>
      <c r="J510" s="11">
        <f t="shared" si="226"/>
        <v>0.59309685933889589</v>
      </c>
      <c r="K510" s="11">
        <f t="shared" si="226"/>
        <v>0.59309685933889589</v>
      </c>
      <c r="L510" s="11">
        <f t="shared" si="226"/>
        <v>0.59309685933889589</v>
      </c>
      <c r="M510" s="11">
        <f t="shared" si="226"/>
        <v>0.59309685933889589</v>
      </c>
    </row>
    <row r="511" spans="1:13" hidden="1" outlineLevel="1" x14ac:dyDescent="0.35">
      <c r="A511" s="201" t="s">
        <v>185</v>
      </c>
      <c r="B511" s="200"/>
      <c r="D511" s="11">
        <f>(D133+D131)/D125</f>
        <v>0.34781124611633085</v>
      </c>
      <c r="E511" s="11">
        <f t="shared" ref="E511:M511" si="227">(E133+E131)/E125</f>
        <v>0.34024141771853161</v>
      </c>
      <c r="F511" s="11">
        <f t="shared" si="227"/>
        <v>0.35080491101810485</v>
      </c>
      <c r="G511" s="11">
        <f t="shared" si="227"/>
        <v>0.33944612620418069</v>
      </c>
      <c r="H511" s="11">
        <f t="shared" si="227"/>
        <v>0.32505031283843333</v>
      </c>
      <c r="I511" s="11">
        <f t="shared" si="227"/>
        <v>0.32505031283843344</v>
      </c>
      <c r="J511" s="11">
        <f t="shared" si="227"/>
        <v>0.32505031283843333</v>
      </c>
      <c r="K511" s="11">
        <f t="shared" si="227"/>
        <v>0.32505031283843328</v>
      </c>
      <c r="L511" s="11">
        <f t="shared" si="227"/>
        <v>0.32505031283843333</v>
      </c>
      <c r="M511" s="11">
        <f t="shared" si="227"/>
        <v>0.32505031283843339</v>
      </c>
    </row>
    <row r="512" spans="1:13" hidden="1" outlineLevel="1" x14ac:dyDescent="0.35">
      <c r="A512" s="201" t="s">
        <v>186</v>
      </c>
      <c r="B512" s="200"/>
      <c r="D512" s="11">
        <f>D136/D125</f>
        <v>0.24163879079133316</v>
      </c>
      <c r="E512" s="11">
        <f t="shared" ref="E512:M512" si="228">E136/E125</f>
        <v>0.23837073362712788</v>
      </c>
      <c r="F512" s="11">
        <f t="shared" si="228"/>
        <v>0.24790308054094062</v>
      </c>
      <c r="G512" s="11">
        <f t="shared" si="228"/>
        <v>0.23977515118291451</v>
      </c>
      <c r="H512" s="11">
        <f t="shared" si="228"/>
        <v>0.22847141046945499</v>
      </c>
      <c r="I512" s="11">
        <f t="shared" si="228"/>
        <v>0.22932666455084777</v>
      </c>
      <c r="J512" s="11">
        <f t="shared" si="228"/>
        <v>0.23016831777721858</v>
      </c>
      <c r="K512" s="11">
        <f t="shared" si="228"/>
        <v>0.23107702631311647</v>
      </c>
      <c r="L512" s="11">
        <f t="shared" si="228"/>
        <v>0.23196295812340853</v>
      </c>
      <c r="M512" s="11">
        <f t="shared" si="228"/>
        <v>0.26004025027074668</v>
      </c>
    </row>
    <row r="513" spans="1:13" hidden="1" outlineLevel="1" x14ac:dyDescent="0.35">
      <c r="A513" s="201"/>
      <c r="B513" s="200"/>
    </row>
    <row r="514" spans="1:13" hidden="1" outlineLevel="1" x14ac:dyDescent="0.35">
      <c r="A514" s="201" t="s">
        <v>187</v>
      </c>
      <c r="B514" s="200"/>
      <c r="D514" s="11">
        <f t="shared" ref="D514:M514" si="229">D135/D133</f>
        <v>0.2</v>
      </c>
      <c r="E514" s="11">
        <f t="shared" si="229"/>
        <v>0.20000000000000004</v>
      </c>
      <c r="F514" s="11">
        <f t="shared" si="229"/>
        <v>0.20000000000000004</v>
      </c>
      <c r="G514" s="11">
        <f t="shared" si="229"/>
        <v>0.2</v>
      </c>
      <c r="H514" s="11">
        <f t="shared" si="229"/>
        <v>0.2</v>
      </c>
      <c r="I514" s="11">
        <f t="shared" si="229"/>
        <v>0.2</v>
      </c>
      <c r="J514" s="11">
        <f t="shared" si="229"/>
        <v>0.2</v>
      </c>
      <c r="K514" s="11">
        <f t="shared" si="229"/>
        <v>0.2</v>
      </c>
      <c r="L514" s="11">
        <f t="shared" si="229"/>
        <v>0.2</v>
      </c>
      <c r="M514" s="11">
        <f t="shared" si="229"/>
        <v>0.2</v>
      </c>
    </row>
    <row r="515" spans="1:13" hidden="1" outlineLevel="1" x14ac:dyDescent="0.35">
      <c r="A515" s="201" t="s">
        <v>188</v>
      </c>
      <c r="B515" s="200"/>
      <c r="D515" s="203">
        <f t="shared" ref="D515:M515" si="230">IFERROR((D133+D131)/D131,"na")</f>
        <v>7.6003122222222226</v>
      </c>
      <c r="E515" s="203">
        <f t="shared" si="230"/>
        <v>8.0477177777777786</v>
      </c>
      <c r="F515" s="203">
        <f t="shared" si="230"/>
        <v>8.5716755555555562</v>
      </c>
      <c r="G515" s="203">
        <f t="shared" si="230"/>
        <v>8.5444288888888877</v>
      </c>
      <c r="H515" s="203">
        <f t="shared" si="230"/>
        <v>8.2372444444444444</v>
      </c>
      <c r="I515" s="203">
        <f t="shared" si="230"/>
        <v>8.4666197116238813</v>
      </c>
      <c r="J515" s="203">
        <f t="shared" si="230"/>
        <v>8.7051699894904857</v>
      </c>
      <c r="K515" s="203">
        <f t="shared" si="230"/>
        <v>8.9782909061213445</v>
      </c>
      <c r="L515" s="203">
        <f t="shared" si="230"/>
        <v>9.2615858005879534</v>
      </c>
      <c r="M515" s="204" t="str">
        <f t="shared" si="230"/>
        <v>na</v>
      </c>
    </row>
    <row r="516" spans="1:13" hidden="1" outlineLevel="1" x14ac:dyDescent="0.35">
      <c r="A516" s="201"/>
      <c r="B516" s="200"/>
    </row>
    <row r="517" spans="1:13" hidden="1" outlineLevel="1" x14ac:dyDescent="0.35">
      <c r="A517" s="201" t="s">
        <v>222</v>
      </c>
      <c r="B517" s="200"/>
      <c r="D517" s="11">
        <f t="shared" ref="D517:M517" si="231">D129/D$125</f>
        <v>0.21090046513775326</v>
      </c>
      <c r="E517" s="11">
        <f t="shared" si="231"/>
        <v>0.23018755413639272</v>
      </c>
      <c r="F517" s="11">
        <f t="shared" si="231"/>
        <v>0.22610702492187898</v>
      </c>
      <c r="G517" s="11">
        <f t="shared" si="231"/>
        <v>0.22201445884221471</v>
      </c>
      <c r="H517" s="11">
        <f t="shared" si="231"/>
        <v>0.22280739061616234</v>
      </c>
      <c r="I517" s="11">
        <f t="shared" si="231"/>
        <v>0.22280739061616237</v>
      </c>
      <c r="J517" s="11">
        <f t="shared" si="231"/>
        <v>0.22280739061616242</v>
      </c>
      <c r="K517" s="11">
        <f t="shared" si="231"/>
        <v>0.22280739061616242</v>
      </c>
      <c r="L517" s="11">
        <f t="shared" si="231"/>
        <v>0.22280739061616239</v>
      </c>
      <c r="M517" s="11">
        <f t="shared" si="231"/>
        <v>0.22280739061616239</v>
      </c>
    </row>
    <row r="518" spans="1:13" hidden="1" outlineLevel="1" x14ac:dyDescent="0.35">
      <c r="A518" s="201" t="s">
        <v>223</v>
      </c>
      <c r="B518" s="200"/>
      <c r="D518" s="11">
        <f t="shared" ref="D518:M518" si="232">D130/D$125</f>
        <v>4.7345132090894804E-2</v>
      </c>
      <c r="E518" s="11">
        <f t="shared" si="232"/>
        <v>4.4517607307555121E-2</v>
      </c>
      <c r="F518" s="11">
        <f t="shared" si="232"/>
        <v>4.4229975719932604E-2</v>
      </c>
      <c r="G518" s="11">
        <f t="shared" si="232"/>
        <v>4.49309190562533E-2</v>
      </c>
      <c r="H518" s="11">
        <f t="shared" si="232"/>
        <v>4.5239155884300199E-2</v>
      </c>
      <c r="I518" s="11">
        <f t="shared" si="232"/>
        <v>4.5239155884300192E-2</v>
      </c>
      <c r="J518" s="11">
        <f t="shared" si="232"/>
        <v>4.5239155884300206E-2</v>
      </c>
      <c r="K518" s="11">
        <f t="shared" si="232"/>
        <v>4.5239155884300206E-2</v>
      </c>
      <c r="L518" s="11">
        <f t="shared" si="232"/>
        <v>4.5239155884300192E-2</v>
      </c>
      <c r="M518" s="11">
        <f t="shared" si="232"/>
        <v>4.5239155884300199E-2</v>
      </c>
    </row>
    <row r="519" spans="1:13" hidden="1" outlineLevel="1" x14ac:dyDescent="0.35">
      <c r="A519" s="201" t="s">
        <v>224</v>
      </c>
      <c r="B519" s="200"/>
      <c r="D519" s="11">
        <f t="shared" ref="D519:M519" si="233">D131/D125</f>
        <v>4.5762757627164405E-2</v>
      </c>
      <c r="E519" s="11">
        <f t="shared" si="233"/>
        <v>4.2278000684621758E-2</v>
      </c>
      <c r="F519" s="11">
        <f t="shared" si="233"/>
        <v>4.0926060341929048E-2</v>
      </c>
      <c r="G519" s="11">
        <f t="shared" si="233"/>
        <v>3.9727187225537558E-2</v>
      </c>
      <c r="H519" s="11">
        <f t="shared" si="233"/>
        <v>3.9461049751614616E-2</v>
      </c>
      <c r="I519" s="11">
        <f t="shared" si="233"/>
        <v>3.8391982149873771E-2</v>
      </c>
      <c r="J519" s="11">
        <f t="shared" si="233"/>
        <v>3.7339915616910149E-2</v>
      </c>
      <c r="K519" s="11">
        <f t="shared" si="233"/>
        <v>3.620402994703769E-2</v>
      </c>
      <c r="L519" s="11">
        <f t="shared" si="233"/>
        <v>3.5096615184172689E-2</v>
      </c>
      <c r="M519" s="11">
        <f t="shared" si="233"/>
        <v>0</v>
      </c>
    </row>
    <row r="520" spans="1:13" hidden="1" outlineLevel="1" x14ac:dyDescent="0.35">
      <c r="A520" s="200"/>
      <c r="B520" s="200"/>
    </row>
    <row r="521" spans="1:13" hidden="1" outlineLevel="1" x14ac:dyDescent="0.35">
      <c r="A521" s="199" t="s">
        <v>7</v>
      </c>
      <c r="B521" s="199"/>
    </row>
    <row r="522" spans="1:13" hidden="1" outlineLevel="1" x14ac:dyDescent="0.35">
      <c r="A522" s="201" t="s">
        <v>194</v>
      </c>
      <c r="B522" s="200"/>
      <c r="D522" s="203">
        <f t="shared" ref="D522:M522" si="234">(D142+D143)/D149</f>
        <v>3.0944777680878612</v>
      </c>
      <c r="E522" s="203">
        <f t="shared" si="234"/>
        <v>2.935326014242313</v>
      </c>
      <c r="F522" s="203">
        <f t="shared" si="234"/>
        <v>3.3059494228352793</v>
      </c>
      <c r="G522" s="203">
        <f t="shared" si="234"/>
        <v>3.7818356311945882</v>
      </c>
      <c r="H522" s="203">
        <f t="shared" si="234"/>
        <v>4.3076464484589705</v>
      </c>
      <c r="I522" s="203">
        <f t="shared" si="234"/>
        <v>4.4147250437714751</v>
      </c>
      <c r="J522" s="203">
        <f t="shared" si="234"/>
        <v>11.163140196798402</v>
      </c>
      <c r="K522" s="203">
        <f t="shared" si="234"/>
        <v>17.768535040728217</v>
      </c>
      <c r="L522" s="203">
        <f t="shared" si="234"/>
        <v>3.1100678403418067</v>
      </c>
      <c r="M522" s="203">
        <f t="shared" si="234"/>
        <v>5.1246744492577019</v>
      </c>
    </row>
    <row r="523" spans="1:13" hidden="1" outlineLevel="1" x14ac:dyDescent="0.35">
      <c r="A523" s="201" t="s">
        <v>195</v>
      </c>
      <c r="B523" s="200"/>
      <c r="D523" s="203">
        <f t="shared" ref="D523:M523" si="235">(D142+D143+D144)/D149</f>
        <v>4.679108627913088</v>
      </c>
      <c r="E523" s="203">
        <f t="shared" si="235"/>
        <v>4.5428100679343553</v>
      </c>
      <c r="F523" s="203">
        <f t="shared" si="235"/>
        <v>4.7821591388117861</v>
      </c>
      <c r="G523" s="203">
        <f t="shared" si="235"/>
        <v>5.2775017293364099</v>
      </c>
      <c r="H523" s="203">
        <f t="shared" si="235"/>
        <v>5.8986610304940958</v>
      </c>
      <c r="I523" s="203">
        <f t="shared" si="235"/>
        <v>5.8813917104381428</v>
      </c>
      <c r="J523" s="203">
        <f t="shared" si="235"/>
        <v>12.629806863465069</v>
      </c>
      <c r="K523" s="203">
        <f t="shared" si="235"/>
        <v>19.235201707394886</v>
      </c>
      <c r="L523" s="203">
        <f t="shared" si="235"/>
        <v>4.5767345070084735</v>
      </c>
      <c r="M523" s="203">
        <f t="shared" si="235"/>
        <v>6.5913411159243696</v>
      </c>
    </row>
    <row r="524" spans="1:13" hidden="1" outlineLevel="1" x14ac:dyDescent="0.35">
      <c r="A524" s="201" t="s">
        <v>196</v>
      </c>
      <c r="B524" s="200"/>
      <c r="D524" s="203">
        <f t="shared" ref="D524:M524" si="236">D125/D146</f>
        <v>0.81524994531256445</v>
      </c>
      <c r="E524" s="203">
        <f t="shared" si="236"/>
        <v>0.87810744162406096</v>
      </c>
      <c r="F524" s="203">
        <f t="shared" si="236"/>
        <v>0.887746201371021</v>
      </c>
      <c r="G524" s="203">
        <f t="shared" si="236"/>
        <v>0.89832626566018103</v>
      </c>
      <c r="H524" s="203">
        <f t="shared" si="236"/>
        <v>0.89876115087359798</v>
      </c>
      <c r="I524" s="203">
        <f t="shared" si="236"/>
        <v>0.90749951106970017</v>
      </c>
      <c r="J524" s="203">
        <f t="shared" si="236"/>
        <v>0.76756733999599425</v>
      </c>
      <c r="K524" s="203">
        <f t="shared" si="236"/>
        <v>0.66881202870074985</v>
      </c>
      <c r="L524" s="203">
        <f t="shared" si="236"/>
        <v>1.01978839982769</v>
      </c>
      <c r="M524" s="203">
        <f t="shared" si="236"/>
        <v>0.97797368444981958</v>
      </c>
    </row>
    <row r="525" spans="1:13" hidden="1" outlineLevel="1" x14ac:dyDescent="0.35">
      <c r="A525" s="201" t="s">
        <v>197</v>
      </c>
      <c r="B525" s="200"/>
      <c r="D525" s="203">
        <f t="shared" ref="D525:M525" si="237">D125/(D146-D149)</f>
        <v>0.83676785753034388</v>
      </c>
      <c r="E525" s="203">
        <f t="shared" si="237"/>
        <v>0.90288185667172705</v>
      </c>
      <c r="F525" s="203">
        <f t="shared" si="237"/>
        <v>0.915177952015228</v>
      </c>
      <c r="G525" s="203">
        <f t="shared" si="237"/>
        <v>0.92614584763327112</v>
      </c>
      <c r="H525" s="203">
        <f t="shared" si="237"/>
        <v>0.9244249667576987</v>
      </c>
      <c r="I525" s="203">
        <f t="shared" si="237"/>
        <v>0.93590468502294211</v>
      </c>
      <c r="J525" s="203">
        <f t="shared" si="237"/>
        <v>0.78779038724757977</v>
      </c>
      <c r="K525" s="203">
        <f t="shared" si="237"/>
        <v>0.68407140286060875</v>
      </c>
      <c r="L525" s="203">
        <f t="shared" si="237"/>
        <v>1.055797316305858</v>
      </c>
      <c r="M525" s="203">
        <f t="shared" si="237"/>
        <v>1.0110422932232039</v>
      </c>
    </row>
    <row r="526" spans="1:13" hidden="1" outlineLevel="1" x14ac:dyDescent="0.35">
      <c r="A526" s="200"/>
      <c r="B526" s="200"/>
    </row>
    <row r="527" spans="1:13" s="308" customFormat="1" hidden="1" outlineLevel="1" x14ac:dyDescent="0.35">
      <c r="A527" s="309" t="s">
        <v>198</v>
      </c>
      <c r="B527" s="306"/>
      <c r="C527" s="307"/>
      <c r="D527" s="310">
        <v>365</v>
      </c>
      <c r="E527" s="310">
        <v>365</v>
      </c>
      <c r="F527" s="310">
        <v>365</v>
      </c>
      <c r="G527" s="310">
        <v>365</v>
      </c>
      <c r="H527" s="310">
        <v>365</v>
      </c>
      <c r="I527" s="310">
        <v>365</v>
      </c>
      <c r="J527" s="310">
        <v>365</v>
      </c>
      <c r="K527" s="310">
        <v>365</v>
      </c>
      <c r="L527" s="310">
        <v>365</v>
      </c>
      <c r="M527" s="310">
        <v>365</v>
      </c>
    </row>
    <row r="528" spans="1:13" hidden="1" outlineLevel="1" x14ac:dyDescent="0.35">
      <c r="A528" s="200"/>
      <c r="B528" s="200"/>
    </row>
    <row r="529" spans="1:13" hidden="1" outlineLevel="1" x14ac:dyDescent="0.35">
      <c r="A529" s="199" t="s">
        <v>199</v>
      </c>
      <c r="B529" s="200"/>
    </row>
    <row r="530" spans="1:13" hidden="1" outlineLevel="1" x14ac:dyDescent="0.35">
      <c r="A530" s="201" t="s">
        <v>200</v>
      </c>
      <c r="B530" s="200"/>
      <c r="D530" s="203">
        <f t="shared" ref="D530:M530" si="238">D126/D144</f>
        <v>7.8813585874564227</v>
      </c>
      <c r="E530" s="203">
        <f t="shared" si="238"/>
        <v>7.6656588422332366</v>
      </c>
      <c r="F530" s="203">
        <f t="shared" si="238"/>
        <v>7.6009758242640482</v>
      </c>
      <c r="G530" s="203">
        <f t="shared" si="238"/>
        <v>7.8703255365664866</v>
      </c>
      <c r="H530" s="203">
        <f t="shared" si="238"/>
        <v>8.2796429543254533</v>
      </c>
      <c r="I530" s="203">
        <f t="shared" si="238"/>
        <v>8.295454545454545</v>
      </c>
      <c r="J530" s="203">
        <f t="shared" si="238"/>
        <v>8.295454545454545</v>
      </c>
      <c r="K530" s="203">
        <f t="shared" si="238"/>
        <v>8.3181818181818183</v>
      </c>
      <c r="L530" s="203">
        <f t="shared" si="238"/>
        <v>8.2954545454545467</v>
      </c>
      <c r="M530" s="203">
        <f t="shared" si="238"/>
        <v>8.295454545454545</v>
      </c>
    </row>
    <row r="531" spans="1:13" hidden="1" outlineLevel="1" x14ac:dyDescent="0.35">
      <c r="A531" s="201" t="s">
        <v>201</v>
      </c>
      <c r="B531" s="200"/>
      <c r="D531" s="203">
        <f t="shared" ref="D531:M531" si="239">D189/D126*D527</f>
        <v>46.311812354397347</v>
      </c>
      <c r="E531" s="203">
        <f t="shared" si="239"/>
        <v>47.614954893252794</v>
      </c>
      <c r="F531" s="203">
        <f t="shared" si="239"/>
        <v>48.020150101627316</v>
      </c>
      <c r="G531" s="203">
        <f t="shared" si="239"/>
        <v>46.376734774713675</v>
      </c>
      <c r="H531" s="203">
        <f t="shared" si="239"/>
        <v>44.084026571377287</v>
      </c>
      <c r="I531" s="203">
        <f t="shared" si="239"/>
        <v>44</v>
      </c>
      <c r="J531" s="203">
        <f t="shared" si="239"/>
        <v>44</v>
      </c>
      <c r="K531" s="203">
        <f t="shared" si="239"/>
        <v>43.879781420765028</v>
      </c>
      <c r="L531" s="203">
        <f t="shared" si="239"/>
        <v>44</v>
      </c>
      <c r="M531" s="203">
        <f t="shared" si="239"/>
        <v>44</v>
      </c>
    </row>
    <row r="532" spans="1:13" hidden="1" outlineLevel="1" x14ac:dyDescent="0.35">
      <c r="A532" s="201" t="s">
        <v>202</v>
      </c>
      <c r="B532" s="200"/>
      <c r="D532" s="203">
        <f t="shared" ref="D532:M532" si="240">D125/D143</f>
        <v>12.166717395742468</v>
      </c>
      <c r="E532" s="203">
        <f t="shared" si="240"/>
        <v>12.115083138839044</v>
      </c>
      <c r="F532" s="203">
        <f t="shared" si="240"/>
        <v>12.205626907920298</v>
      </c>
      <c r="G532" s="203">
        <f t="shared" si="240"/>
        <v>12.163881164557697</v>
      </c>
      <c r="H532" s="203">
        <f t="shared" si="240"/>
        <v>12.383897398584995</v>
      </c>
      <c r="I532" s="203">
        <f t="shared" si="240"/>
        <v>12.586206896551722</v>
      </c>
      <c r="J532" s="203">
        <f t="shared" si="240"/>
        <v>12.586206896551724</v>
      </c>
      <c r="K532" s="203">
        <f t="shared" si="240"/>
        <v>12.620689655172413</v>
      </c>
      <c r="L532" s="203">
        <f t="shared" si="240"/>
        <v>12.586206896551722</v>
      </c>
      <c r="M532" s="203">
        <f t="shared" si="240"/>
        <v>12.586206896551722</v>
      </c>
    </row>
    <row r="533" spans="1:13" hidden="1" outlineLevel="1" x14ac:dyDescent="0.35">
      <c r="A533" s="201" t="s">
        <v>203</v>
      </c>
      <c r="B533" s="200"/>
      <c r="D533" s="203">
        <f t="shared" ref="D533:M533" si="241">D143/D125*D527</f>
        <v>29.999874915129155</v>
      </c>
      <c r="E533" s="203">
        <f t="shared" si="241"/>
        <v>30.127733818835104</v>
      </c>
      <c r="F533" s="203">
        <f t="shared" si="241"/>
        <v>29.904240294543946</v>
      </c>
      <c r="G533" s="203">
        <f t="shared" si="241"/>
        <v>30.006869934204271</v>
      </c>
      <c r="H533" s="203">
        <f t="shared" si="241"/>
        <v>29.473758401915173</v>
      </c>
      <c r="I533" s="203">
        <f t="shared" si="241"/>
        <v>29.000000000000004</v>
      </c>
      <c r="J533" s="203">
        <f t="shared" si="241"/>
        <v>29.000000000000004</v>
      </c>
      <c r="K533" s="203">
        <f t="shared" si="241"/>
        <v>28.920765027322407</v>
      </c>
      <c r="L533" s="203">
        <f t="shared" si="241"/>
        <v>29.000000000000004</v>
      </c>
      <c r="M533" s="203">
        <f t="shared" si="241"/>
        <v>29.000000000000004</v>
      </c>
    </row>
    <row r="534" spans="1:13" hidden="1" outlineLevel="1" x14ac:dyDescent="0.35">
      <c r="A534" s="201" t="s">
        <v>204</v>
      </c>
      <c r="B534" s="200"/>
      <c r="D534" s="203">
        <f t="shared" ref="D534:M534" si="242">D126/D149</f>
        <v>12.489044035032007</v>
      </c>
      <c r="E534" s="203">
        <f t="shared" si="242"/>
        <v>12.322424349933328</v>
      </c>
      <c r="F534" s="203">
        <f t="shared" si="242"/>
        <v>11.220634362681126</v>
      </c>
      <c r="G534" s="203">
        <f t="shared" si="242"/>
        <v>11.771379086382334</v>
      </c>
      <c r="H534" s="203">
        <f t="shared" si="242"/>
        <v>13.173032674376186</v>
      </c>
      <c r="I534" s="203">
        <f t="shared" si="242"/>
        <v>12.166666666666668</v>
      </c>
      <c r="J534" s="203">
        <f t="shared" si="242"/>
        <v>12.166666666666668</v>
      </c>
      <c r="K534" s="203">
        <f t="shared" si="242"/>
        <v>12.200000000000001</v>
      </c>
      <c r="L534" s="203">
        <f t="shared" si="242"/>
        <v>12.166666666666668</v>
      </c>
      <c r="M534" s="203">
        <f t="shared" si="242"/>
        <v>12.166666666666668</v>
      </c>
    </row>
    <row r="535" spans="1:13" hidden="1" outlineLevel="1" x14ac:dyDescent="0.35">
      <c r="A535" s="201" t="s">
        <v>205</v>
      </c>
      <c r="B535" s="200"/>
      <c r="D535" s="203">
        <f t="shared" ref="D535:M535" si="243">D149/D126*D527</f>
        <v>29.225615585641947</v>
      </c>
      <c r="E535" s="203">
        <f t="shared" si="243"/>
        <v>29.620794547785142</v>
      </c>
      <c r="F535" s="203">
        <f t="shared" si="243"/>
        <v>32.529355132893279</v>
      </c>
      <c r="G535" s="203">
        <f t="shared" si="243"/>
        <v>31.007411903185464</v>
      </c>
      <c r="H535" s="203">
        <f t="shared" si="243"/>
        <v>27.708122269368371</v>
      </c>
      <c r="I535" s="203">
        <f t="shared" si="243"/>
        <v>30</v>
      </c>
      <c r="J535" s="203">
        <f t="shared" si="243"/>
        <v>30</v>
      </c>
      <c r="K535" s="203">
        <f t="shared" si="243"/>
        <v>29.918032786885245</v>
      </c>
      <c r="L535" s="203">
        <f t="shared" si="243"/>
        <v>30</v>
      </c>
      <c r="M535" s="203">
        <f t="shared" si="243"/>
        <v>30</v>
      </c>
    </row>
    <row r="536" spans="1:13" hidden="1" outlineLevel="1" x14ac:dyDescent="0.35">
      <c r="A536" s="201" t="s">
        <v>206</v>
      </c>
      <c r="B536" s="200"/>
      <c r="D536" s="203">
        <f t="shared" ref="D536:M536" si="244">D125/D145</f>
        <v>0.92676336305356455</v>
      </c>
      <c r="E536" s="203">
        <f t="shared" si="244"/>
        <v>1.0031516740237614</v>
      </c>
      <c r="F536" s="203">
        <f t="shared" si="244"/>
        <v>1.0362895134986989</v>
      </c>
      <c r="G536" s="203">
        <f t="shared" si="244"/>
        <v>1.0675622948179204</v>
      </c>
      <c r="H536" s="203">
        <f t="shared" si="244"/>
        <v>1.0747622637540382</v>
      </c>
      <c r="I536" s="203">
        <f t="shared" si="244"/>
        <v>1.1046902187959964</v>
      </c>
      <c r="J536" s="203">
        <f t="shared" si="244"/>
        <v>1.1358152920396329</v>
      </c>
      <c r="K536" s="203">
        <f t="shared" si="244"/>
        <v>1.1714510020900657</v>
      </c>
      <c r="L536" s="203">
        <f t="shared" si="244"/>
        <v>1.2084141715262045</v>
      </c>
      <c r="M536" s="203">
        <f t="shared" si="244"/>
        <v>1.2467569190333139</v>
      </c>
    </row>
    <row r="537" spans="1:13" hidden="1" outlineLevel="1" x14ac:dyDescent="0.35">
      <c r="A537" s="201" t="s">
        <v>207</v>
      </c>
      <c r="B537" s="200"/>
      <c r="D537" s="203">
        <f t="shared" ref="D537:M537" si="245">D125/(D143+D144-D149)</f>
        <v>9.9371468098695175</v>
      </c>
      <c r="E537" s="203">
        <f t="shared" si="245"/>
        <v>9.8498380544322188</v>
      </c>
      <c r="F537" s="203">
        <f t="shared" si="245"/>
        <v>10.203210704823945</v>
      </c>
      <c r="G537" s="203">
        <f t="shared" si="245"/>
        <v>10.123039023806077</v>
      </c>
      <c r="H537" s="203">
        <f t="shared" si="245"/>
        <v>10.100404861168313</v>
      </c>
      <c r="I537" s="203">
        <f t="shared" si="245"/>
        <v>10.519749412174411</v>
      </c>
      <c r="J537" s="203">
        <f t="shared" si="245"/>
        <v>10.519749412174415</v>
      </c>
      <c r="K537" s="203">
        <f t="shared" si="245"/>
        <v>10.548570643440645</v>
      </c>
      <c r="L537" s="203">
        <f t="shared" si="245"/>
        <v>10.519749412174415</v>
      </c>
      <c r="M537" s="203">
        <f t="shared" si="245"/>
        <v>10.519749412174413</v>
      </c>
    </row>
    <row r="538" spans="1:13" hidden="1" outlineLevel="1" x14ac:dyDescent="0.35">
      <c r="A538" s="201" t="s">
        <v>208</v>
      </c>
      <c r="B538" s="200"/>
      <c r="D538" s="203">
        <f t="shared" ref="D538:M538" si="246">D125/D142</f>
        <v>64.859333157443444</v>
      </c>
      <c r="E538" s="203">
        <f t="shared" si="246"/>
        <v>108.91015999115908</v>
      </c>
      <c r="F538" s="203">
        <f t="shared" si="246"/>
        <v>33.676833530067178</v>
      </c>
      <c r="G538" s="203">
        <f t="shared" si="246"/>
        <v>22.601172233528882</v>
      </c>
      <c r="H538" s="203">
        <f t="shared" si="246"/>
        <v>19.117057854176839</v>
      </c>
      <c r="I538" s="203">
        <f t="shared" si="246"/>
        <v>14.663955631846614</v>
      </c>
      <c r="J538" s="203">
        <f t="shared" si="246"/>
        <v>3.4026446082603585</v>
      </c>
      <c r="K538" s="203">
        <f t="shared" si="246"/>
        <v>1.9478219853085581</v>
      </c>
      <c r="L538" s="203">
        <f t="shared" si="246"/>
        <v>40.714381647555889</v>
      </c>
      <c r="M538" s="203">
        <f t="shared" si="246"/>
        <v>10.876890810458674</v>
      </c>
    </row>
    <row r="539" spans="1:13" hidden="1" outlineLevel="1" x14ac:dyDescent="0.35">
      <c r="A539" s="200"/>
      <c r="B539" s="200"/>
    </row>
    <row r="540" spans="1:13" hidden="1" outlineLevel="1" x14ac:dyDescent="0.35">
      <c r="A540" s="199" t="s">
        <v>283</v>
      </c>
      <c r="B540" s="200"/>
    </row>
    <row r="541" spans="1:13" hidden="1" outlineLevel="1" x14ac:dyDescent="0.35">
      <c r="A541" s="201" t="s">
        <v>209</v>
      </c>
      <c r="B541" s="200"/>
      <c r="D541" s="11">
        <f t="shared" ref="D541:M541" si="247">D150/D155</f>
        <v>3.2708777400415405</v>
      </c>
      <c r="E541" s="11">
        <f t="shared" si="247"/>
        <v>3.2272715634990421</v>
      </c>
      <c r="F541" s="11">
        <f t="shared" si="247"/>
        <v>2.9855334979180554</v>
      </c>
      <c r="G541" s="11">
        <f t="shared" si="247"/>
        <v>2.785919714127493</v>
      </c>
      <c r="H541" s="11">
        <f t="shared" si="247"/>
        <v>2.6978910585595255</v>
      </c>
      <c r="I541" s="11">
        <f t="shared" si="247"/>
        <v>2.5539724643017623</v>
      </c>
      <c r="J541" s="11">
        <f t="shared" si="247"/>
        <v>1.4290742602812792</v>
      </c>
      <c r="K541" s="11">
        <f t="shared" si="247"/>
        <v>0.98146470977215983</v>
      </c>
      <c r="L541" s="11">
        <f t="shared" si="247"/>
        <v>0</v>
      </c>
      <c r="M541" s="11">
        <f t="shared" si="247"/>
        <v>0</v>
      </c>
    </row>
    <row r="542" spans="1:13" hidden="1" outlineLevel="1" x14ac:dyDescent="0.35">
      <c r="A542" s="201" t="s">
        <v>210</v>
      </c>
      <c r="B542" s="200"/>
      <c r="D542" s="11">
        <f t="shared" ref="D542:M542" si="248">D150/(D155+D150)</f>
        <v>0.76585609308725522</v>
      </c>
      <c r="E542" s="11">
        <f t="shared" si="248"/>
        <v>0.76344079508999663</v>
      </c>
      <c r="F542" s="11">
        <f t="shared" si="248"/>
        <v>0.74909256175556538</v>
      </c>
      <c r="G542" s="11">
        <f t="shared" si="248"/>
        <v>0.73586338974162291</v>
      </c>
      <c r="H542" s="11">
        <f t="shared" si="248"/>
        <v>0.72957559209720491</v>
      </c>
      <c r="I542" s="11">
        <f t="shared" si="248"/>
        <v>0.71862471922768068</v>
      </c>
      <c r="J542" s="11">
        <f t="shared" si="248"/>
        <v>0.58832053167275211</v>
      </c>
      <c r="K542" s="11">
        <f t="shared" si="248"/>
        <v>0.49532283110155129</v>
      </c>
      <c r="L542" s="11">
        <f t="shared" si="248"/>
        <v>0</v>
      </c>
      <c r="M542" s="11">
        <f t="shared" si="248"/>
        <v>0</v>
      </c>
    </row>
    <row r="543" spans="1:13" hidden="1" outlineLevel="1" x14ac:dyDescent="0.35">
      <c r="A543" s="201" t="s">
        <v>211</v>
      </c>
      <c r="B543" s="200"/>
      <c r="D543" s="11">
        <f t="shared" ref="D543:M543" si="249">D150/(D155)</f>
        <v>3.2708777400415405</v>
      </c>
      <c r="E543" s="11">
        <f t="shared" si="249"/>
        <v>3.2272715634990421</v>
      </c>
      <c r="F543" s="11">
        <f t="shared" si="249"/>
        <v>2.9855334979180554</v>
      </c>
      <c r="G543" s="11">
        <f t="shared" si="249"/>
        <v>2.785919714127493</v>
      </c>
      <c r="H543" s="11">
        <f t="shared" si="249"/>
        <v>2.6978910585595255</v>
      </c>
      <c r="I543" s="11">
        <f t="shared" si="249"/>
        <v>2.5539724643017623</v>
      </c>
      <c r="J543" s="11">
        <f t="shared" si="249"/>
        <v>1.4290742602812792</v>
      </c>
      <c r="K543" s="11">
        <f t="shared" si="249"/>
        <v>0.98146470977215983</v>
      </c>
      <c r="L543" s="11">
        <f t="shared" si="249"/>
        <v>0</v>
      </c>
      <c r="M543" s="11">
        <f t="shared" si="249"/>
        <v>0</v>
      </c>
    </row>
    <row r="544" spans="1:13" hidden="1" outlineLevel="1" x14ac:dyDescent="0.35">
      <c r="A544" s="201" t="s">
        <v>212</v>
      </c>
      <c r="B544" s="200"/>
      <c r="D544" s="11">
        <f t="shared" ref="D544:M544" si="250">D151/D155</f>
        <v>3.3836043618971821</v>
      </c>
      <c r="E544" s="11">
        <f t="shared" si="250"/>
        <v>3.3465373563496605</v>
      </c>
      <c r="F544" s="11">
        <f t="shared" si="250"/>
        <v>3.1086882474739239</v>
      </c>
      <c r="G544" s="11">
        <f t="shared" si="250"/>
        <v>2.9031629784701041</v>
      </c>
      <c r="H544" s="11">
        <f t="shared" si="250"/>
        <v>2.803483067286304</v>
      </c>
      <c r="I544" s="11">
        <f t="shared" si="250"/>
        <v>2.665213522662806</v>
      </c>
      <c r="J544" s="11">
        <f t="shared" si="250"/>
        <v>1.4930729233087274</v>
      </c>
      <c r="K544" s="11">
        <f t="shared" si="250"/>
        <v>1.0266730943308326</v>
      </c>
      <c r="L544" s="11">
        <f t="shared" si="250"/>
        <v>3.5310184430664561E-2</v>
      </c>
      <c r="M544" s="11">
        <f t="shared" si="250"/>
        <v>3.381339324277205E-2</v>
      </c>
    </row>
    <row r="545" spans="1:24" hidden="1" outlineLevel="1" x14ac:dyDescent="0.35">
      <c r="A545" s="201" t="s">
        <v>213</v>
      </c>
      <c r="B545" s="200"/>
      <c r="D545" s="11">
        <f t="shared" ref="D545:M545" si="251">D146/D155</f>
        <v>4.3836043618971825</v>
      </c>
      <c r="E545" s="11">
        <f t="shared" si="251"/>
        <v>4.3465373563496605</v>
      </c>
      <c r="F545" s="11">
        <f t="shared" si="251"/>
        <v>4.1086882474739248</v>
      </c>
      <c r="G545" s="11">
        <f t="shared" si="251"/>
        <v>3.903162978470105</v>
      </c>
      <c r="H545" s="11">
        <f t="shared" si="251"/>
        <v>3.8034830672863045</v>
      </c>
      <c r="I545" s="11">
        <f t="shared" si="251"/>
        <v>3.6652135226628069</v>
      </c>
      <c r="J545" s="11">
        <f t="shared" si="251"/>
        <v>2.4930729233087279</v>
      </c>
      <c r="K545" s="11">
        <f t="shared" si="251"/>
        <v>2.0266730943308326</v>
      </c>
      <c r="L545" s="11">
        <f t="shared" si="251"/>
        <v>1.0353101844306647</v>
      </c>
      <c r="M545" s="11">
        <f t="shared" si="251"/>
        <v>1.033813393242772</v>
      </c>
    </row>
    <row r="546" spans="1:24" hidden="1" outlineLevel="1" x14ac:dyDescent="0.35">
      <c r="A546" s="201" t="s">
        <v>214</v>
      </c>
      <c r="B546" s="200"/>
      <c r="D546" s="203">
        <f t="shared" ref="D546:M546" si="252">D150/(D133+D131+D130)</f>
        <v>2.3161846879346464</v>
      </c>
      <c r="E546" s="203">
        <f t="shared" si="252"/>
        <v>2.1976352955856098</v>
      </c>
      <c r="F546" s="203">
        <f t="shared" si="252"/>
        <v>2.0720225841252677</v>
      </c>
      <c r="G546" s="203">
        <f t="shared" si="252"/>
        <v>2.0670946777594623</v>
      </c>
      <c r="H546" s="203">
        <f t="shared" si="252"/>
        <v>2.1313622495249729</v>
      </c>
      <c r="I546" s="203">
        <f t="shared" si="252"/>
        <v>2.0736199861314999</v>
      </c>
      <c r="J546" s="203">
        <f t="shared" si="252"/>
        <v>2.0167959810312421</v>
      </c>
      <c r="K546" s="203">
        <f t="shared" si="252"/>
        <v>1.9554447536366018</v>
      </c>
      <c r="L546" s="203">
        <f t="shared" si="252"/>
        <v>0</v>
      </c>
      <c r="M546" s="203">
        <f t="shared" si="252"/>
        <v>0</v>
      </c>
    </row>
    <row r="547" spans="1:24" hidden="1" outlineLevel="1" x14ac:dyDescent="0.35">
      <c r="A547" s="201" t="s">
        <v>215</v>
      </c>
      <c r="B547" s="200"/>
      <c r="D547" s="11">
        <f t="shared" ref="D547:M547" si="253">D133/(D133+D131)</f>
        <v>0.86842645791890716</v>
      </c>
      <c r="E547" s="11">
        <f t="shared" si="253"/>
        <v>0.87574116940813862</v>
      </c>
      <c r="F547" s="11">
        <f t="shared" si="253"/>
        <v>0.88333669496486356</v>
      </c>
      <c r="G547" s="11">
        <f t="shared" si="253"/>
        <v>0.88296467639863063</v>
      </c>
      <c r="H547" s="11">
        <f t="shared" si="253"/>
        <v>0.87860017913218014</v>
      </c>
      <c r="I547" s="11">
        <f t="shared" si="253"/>
        <v>0.88188910875173798</v>
      </c>
      <c r="J547" s="11">
        <f t="shared" si="253"/>
        <v>0.88512573548738593</v>
      </c>
      <c r="K547" s="11">
        <f t="shared" si="253"/>
        <v>0.88862022733990431</v>
      </c>
      <c r="L547" s="11">
        <f t="shared" si="253"/>
        <v>0.89202712996120848</v>
      </c>
      <c r="M547" s="11">
        <f t="shared" si="253"/>
        <v>1</v>
      </c>
    </row>
    <row r="548" spans="1:24" hidden="1" outlineLevel="1" x14ac:dyDescent="0.35">
      <c r="A548" s="201" t="s">
        <v>225</v>
      </c>
      <c r="B548" s="200"/>
      <c r="D548" s="10" t="s">
        <v>226</v>
      </c>
      <c r="E548" s="11">
        <f t="shared" ref="E548:M548" si="254">IFERROR(-E209/E136,"na")</f>
        <v>0.98534655663157145</v>
      </c>
      <c r="F548" s="11">
        <f t="shared" si="254"/>
        <v>0.91716085739425357</v>
      </c>
      <c r="G548" s="11">
        <f t="shared" si="254"/>
        <v>0.92047317917886751</v>
      </c>
      <c r="H548" s="11">
        <f t="shared" si="254"/>
        <v>0.95954261290362208</v>
      </c>
      <c r="I548" s="11">
        <f t="shared" si="254"/>
        <v>0.93006537263890321</v>
      </c>
      <c r="J548" s="11">
        <f t="shared" si="254"/>
        <v>0</v>
      </c>
      <c r="K548" s="11">
        <f t="shared" si="254"/>
        <v>0</v>
      </c>
      <c r="L548" s="11">
        <f t="shared" si="254"/>
        <v>0</v>
      </c>
      <c r="M548" s="11">
        <f t="shared" si="254"/>
        <v>0.72675190051169081</v>
      </c>
    </row>
    <row r="549" spans="1:24" hidden="1" outlineLevel="1" x14ac:dyDescent="0.35">
      <c r="A549" s="200"/>
      <c r="B549" s="200"/>
    </row>
    <row r="550" spans="1:24" hidden="1" outlineLevel="1" x14ac:dyDescent="0.35">
      <c r="A550" s="199" t="s">
        <v>216</v>
      </c>
      <c r="B550" s="200"/>
    </row>
    <row r="551" spans="1:24" hidden="1" outlineLevel="1" x14ac:dyDescent="0.35">
      <c r="A551" s="201" t="s">
        <v>217</v>
      </c>
      <c r="B551" s="200"/>
      <c r="D551" s="11">
        <f t="shared" ref="D551:M551" si="255">D136/D155</f>
        <v>0.86355257299963117</v>
      </c>
      <c r="E551" s="11">
        <f t="shared" si="255"/>
        <v>0.90979596687155539</v>
      </c>
      <c r="F551" s="11">
        <f t="shared" si="255"/>
        <v>0.90421964025913648</v>
      </c>
      <c r="G551" s="11">
        <f t="shared" si="255"/>
        <v>0.84072692693554119</v>
      </c>
      <c r="H551" s="11">
        <f t="shared" si="255"/>
        <v>0.78101188301105084</v>
      </c>
      <c r="I551" s="11">
        <f t="shared" si="255"/>
        <v>0.76278164579600627</v>
      </c>
      <c r="J551" s="11">
        <f t="shared" si="255"/>
        <v>0.44045040412290515</v>
      </c>
      <c r="K551" s="11">
        <f t="shared" si="255"/>
        <v>0.31321643874616983</v>
      </c>
      <c r="L551" s="11">
        <f t="shared" si="255"/>
        <v>0.24490586866906291</v>
      </c>
      <c r="M551" s="11">
        <f t="shared" si="255"/>
        <v>0.26291169096407163</v>
      </c>
    </row>
    <row r="552" spans="1:24" hidden="1" outlineLevel="1" x14ac:dyDescent="0.35">
      <c r="A552" s="201" t="s">
        <v>218</v>
      </c>
      <c r="B552" s="200"/>
      <c r="D552" s="11">
        <f t="shared" ref="D552:M552" si="256">D136/D146</f>
        <v>0.19699601097802855</v>
      </c>
      <c r="E552" s="11">
        <f t="shared" si="256"/>
        <v>0.20931511506336775</v>
      </c>
      <c r="F552" s="11">
        <f t="shared" si="256"/>
        <v>0.22007501805839433</v>
      </c>
      <c r="G552" s="11">
        <f t="shared" si="256"/>
        <v>0.21539631616025293</v>
      </c>
      <c r="H552" s="11">
        <f t="shared" si="256"/>
        <v>0.20534122781524156</v>
      </c>
      <c r="I552" s="11">
        <f t="shared" si="256"/>
        <v>0.20811383595513949</v>
      </c>
      <c r="J552" s="11">
        <f t="shared" si="256"/>
        <v>0.17666968342761238</v>
      </c>
      <c r="K552" s="11">
        <f t="shared" si="256"/>
        <v>0.15454709475461198</v>
      </c>
      <c r="L552" s="11">
        <f t="shared" si="256"/>
        <v>0.23655313388396826</v>
      </c>
      <c r="M552" s="11">
        <f t="shared" si="256"/>
        <v>0.25431252166253532</v>
      </c>
    </row>
    <row r="553" spans="1:24" hidden="1" outlineLevel="1" x14ac:dyDescent="0.35"/>
    <row r="554" spans="1:24" collapsed="1" x14ac:dyDescent="0.35"/>
    <row r="555" spans="1:24" ht="20" x14ac:dyDescent="0.4">
      <c r="A555" s="350" t="s">
        <v>227</v>
      </c>
      <c r="B555" s="350"/>
      <c r="C555" s="350"/>
      <c r="D555" s="350"/>
      <c r="E555" s="350"/>
      <c r="F555" s="350"/>
      <c r="G555" s="350"/>
      <c r="H555" s="350"/>
      <c r="I555" s="350"/>
      <c r="J555" s="350"/>
      <c r="K555" s="350"/>
      <c r="L555" s="350"/>
      <c r="M555" s="350"/>
    </row>
    <row r="556" spans="1:24" s="4" customFormat="1" ht="20" hidden="1" outlineLevel="1" x14ac:dyDescent="0.4">
      <c r="A556" s="233"/>
      <c r="C556" s="233"/>
      <c r="D556" s="233"/>
      <c r="E556" s="233"/>
      <c r="F556" s="233"/>
      <c r="G556" s="233"/>
      <c r="H556" s="233"/>
      <c r="I556" s="233"/>
      <c r="J556" s="233"/>
      <c r="K556" s="233"/>
      <c r="L556" s="233"/>
      <c r="M556" s="233"/>
    </row>
    <row r="557" spans="1:24" s="205" customFormat="1" ht="16" hidden="1" outlineLevel="1" thickBot="1" x14ac:dyDescent="0.4">
      <c r="A557" s="236" t="s">
        <v>230</v>
      </c>
    </row>
    <row r="558" spans="1:24" s="205" customFormat="1" hidden="1" outlineLevel="1" x14ac:dyDescent="0.35">
      <c r="B558" s="206"/>
      <c r="C558" s="206"/>
      <c r="D558" s="206"/>
      <c r="E558" s="206"/>
      <c r="F558" s="206"/>
      <c r="G558" s="206"/>
      <c r="H558" s="206"/>
      <c r="I558" s="206"/>
      <c r="J558" s="206"/>
      <c r="K558" s="207" t="s">
        <v>217</v>
      </c>
      <c r="L558" s="208"/>
      <c r="M558" s="208"/>
      <c r="N558" s="208"/>
      <c r="O558" s="209"/>
      <c r="P558" s="206"/>
      <c r="Q558" s="206"/>
      <c r="R558" s="206"/>
      <c r="S558" s="206"/>
      <c r="T558" s="206"/>
      <c r="U558" s="206"/>
      <c r="V558" s="206"/>
      <c r="W558" s="206"/>
      <c r="X558" s="206"/>
    </row>
    <row r="559" spans="1:24" s="205" customFormat="1" hidden="1" outlineLevel="1" x14ac:dyDescent="0.35">
      <c r="B559" s="206"/>
      <c r="C559" s="206"/>
      <c r="D559" s="206"/>
      <c r="E559" s="206"/>
      <c r="F559" s="206"/>
      <c r="G559" s="210"/>
      <c r="H559" s="206"/>
      <c r="I559" s="206"/>
      <c r="J559" s="206"/>
      <c r="K559" s="230">
        <f>$I$2</f>
        <v>2018</v>
      </c>
      <c r="L559" s="231">
        <f>$J$2</f>
        <v>2019</v>
      </c>
      <c r="M559" s="231">
        <f>$K$2</f>
        <v>2020</v>
      </c>
      <c r="N559" s="231">
        <f>$L$2</f>
        <v>2021</v>
      </c>
      <c r="O559" s="232">
        <f>$M$2</f>
        <v>2022</v>
      </c>
      <c r="P559" s="206"/>
      <c r="Q559" s="206"/>
      <c r="R559" s="206"/>
      <c r="S559" s="206"/>
      <c r="T559" s="206"/>
      <c r="U559" s="206"/>
      <c r="V559" s="206"/>
      <c r="W559" s="206"/>
      <c r="X559" s="206"/>
    </row>
    <row r="560" spans="1:24" s="205" customFormat="1" ht="16" hidden="1" outlineLevel="1" thickBot="1" x14ac:dyDescent="0.4">
      <c r="B560" s="211"/>
      <c r="C560" s="211"/>
      <c r="D560" s="211"/>
      <c r="E560" s="211"/>
      <c r="F560" s="211"/>
      <c r="G560" s="211"/>
      <c r="H560" s="211"/>
      <c r="I560" s="211"/>
      <c r="J560" s="211"/>
      <c r="K560" s="212">
        <f>I551</f>
        <v>0.76278164579600627</v>
      </c>
      <c r="L560" s="213">
        <f t="shared" ref="L560:O560" si="257">J551</f>
        <v>0.44045040412290515</v>
      </c>
      <c r="M560" s="213">
        <f t="shared" si="257"/>
        <v>0.31321643874616983</v>
      </c>
      <c r="N560" s="213">
        <f t="shared" si="257"/>
        <v>0.24490586866906291</v>
      </c>
      <c r="O560" s="214">
        <f t="shared" si="257"/>
        <v>0.26291169096407163</v>
      </c>
      <c r="P560" s="211"/>
      <c r="Q560" s="211"/>
      <c r="R560" s="211"/>
      <c r="S560" s="211"/>
      <c r="T560" s="211"/>
      <c r="U560" s="211"/>
      <c r="V560" s="211"/>
      <c r="W560" s="211"/>
      <c r="X560" s="211"/>
    </row>
    <row r="561" spans="2:24" s="205" customFormat="1" hidden="1" outlineLevel="1" x14ac:dyDescent="0.35">
      <c r="B561" s="206"/>
      <c r="C561" s="206"/>
      <c r="D561" s="206"/>
      <c r="E561" s="206"/>
      <c r="F561" s="206"/>
      <c r="G561" s="206"/>
      <c r="H561" s="206"/>
      <c r="I561" s="206"/>
      <c r="J561" s="215"/>
      <c r="K561" s="206"/>
      <c r="L561" s="206"/>
      <c r="M561" s="206"/>
      <c r="N561" s="206"/>
      <c r="O561" s="206"/>
      <c r="P561" s="206"/>
      <c r="Q561" s="206"/>
      <c r="R561" s="206"/>
      <c r="S561" s="206"/>
      <c r="T561" s="206"/>
      <c r="U561" s="206"/>
      <c r="V561" s="206"/>
      <c r="W561" s="206"/>
      <c r="X561" s="206"/>
    </row>
    <row r="562" spans="2:24" s="205" customFormat="1" ht="16" hidden="1" outlineLevel="1" thickBot="1" x14ac:dyDescent="0.4">
      <c r="B562" s="206"/>
      <c r="C562" s="206"/>
      <c r="D562" s="206"/>
      <c r="E562" s="206"/>
      <c r="F562" s="206"/>
      <c r="G562" s="206"/>
      <c r="H562" s="206"/>
      <c r="I562" s="206"/>
      <c r="J562" s="206"/>
      <c r="K562" s="206"/>
      <c r="L562" s="206"/>
      <c r="M562" s="206"/>
      <c r="N562" s="206"/>
      <c r="O562" s="206"/>
      <c r="P562" s="206"/>
      <c r="Q562" s="206"/>
      <c r="R562" s="206"/>
      <c r="S562" s="206"/>
      <c r="T562" s="206"/>
      <c r="U562" s="206"/>
      <c r="V562" s="206"/>
      <c r="W562" s="206"/>
      <c r="X562" s="206"/>
    </row>
    <row r="563" spans="2:24" s="205" customFormat="1" hidden="1" outlineLevel="1" x14ac:dyDescent="0.35">
      <c r="B563" s="206"/>
      <c r="C563" s="206"/>
      <c r="D563" s="206"/>
      <c r="E563" s="207" t="str">
        <f>A512</f>
        <v>Net Profit Ratio</v>
      </c>
      <c r="F563" s="208"/>
      <c r="G563" s="208"/>
      <c r="H563" s="208"/>
      <c r="I563" s="209"/>
      <c r="J563" s="206"/>
      <c r="K563" s="234" t="str">
        <f>A545</f>
        <v>Total Assets to Equity</v>
      </c>
      <c r="L563" s="208"/>
      <c r="M563" s="208"/>
      <c r="N563" s="208"/>
      <c r="O563" s="209"/>
      <c r="P563" s="206"/>
      <c r="Q563" s="207" t="str">
        <f>A524</f>
        <v>Total Asset Turnover Ratio</v>
      </c>
      <c r="R563" s="208"/>
      <c r="S563" s="208"/>
      <c r="T563" s="208"/>
      <c r="U563" s="209"/>
      <c r="V563" s="206"/>
      <c r="W563" s="206"/>
      <c r="X563" s="206"/>
    </row>
    <row r="564" spans="2:24" s="205" customFormat="1" hidden="1" outlineLevel="1" x14ac:dyDescent="0.35">
      <c r="B564" s="206"/>
      <c r="C564" s="206"/>
      <c r="D564" s="206"/>
      <c r="E564" s="230">
        <f>K559</f>
        <v>2018</v>
      </c>
      <c r="F564" s="231">
        <f t="shared" ref="F564:I564" si="258">L559</f>
        <v>2019</v>
      </c>
      <c r="G564" s="231">
        <f t="shared" si="258"/>
        <v>2020</v>
      </c>
      <c r="H564" s="231">
        <f t="shared" si="258"/>
        <v>2021</v>
      </c>
      <c r="I564" s="232">
        <f t="shared" si="258"/>
        <v>2022</v>
      </c>
      <c r="J564" s="206"/>
      <c r="K564" s="230">
        <f>K559</f>
        <v>2018</v>
      </c>
      <c r="L564" s="231">
        <f>L559</f>
        <v>2019</v>
      </c>
      <c r="M564" s="231">
        <f>M559</f>
        <v>2020</v>
      </c>
      <c r="N564" s="231">
        <f>N559</f>
        <v>2021</v>
      </c>
      <c r="O564" s="232">
        <f>O559</f>
        <v>2022</v>
      </c>
      <c r="P564" s="206"/>
      <c r="Q564" s="230">
        <f>K564</f>
        <v>2018</v>
      </c>
      <c r="R564" s="231">
        <f>L564</f>
        <v>2019</v>
      </c>
      <c r="S564" s="231">
        <f>M564</f>
        <v>2020</v>
      </c>
      <c r="T564" s="231">
        <f>N564</f>
        <v>2021</v>
      </c>
      <c r="U564" s="232">
        <f>O564</f>
        <v>2022</v>
      </c>
      <c r="V564" s="206"/>
      <c r="W564" s="206"/>
      <c r="X564" s="206"/>
    </row>
    <row r="565" spans="2:24" s="205" customFormat="1" ht="16" hidden="1" outlineLevel="1" thickBot="1" x14ac:dyDescent="0.4">
      <c r="B565" s="206"/>
      <c r="C565" s="206"/>
      <c r="D565" s="206"/>
      <c r="E565" s="212">
        <f>I512</f>
        <v>0.22932666455084777</v>
      </c>
      <c r="F565" s="213">
        <f t="shared" ref="F565:I565" si="259">J512</f>
        <v>0.23016831777721858</v>
      </c>
      <c r="G565" s="213">
        <f t="shared" si="259"/>
        <v>0.23107702631311647</v>
      </c>
      <c r="H565" s="213">
        <f t="shared" si="259"/>
        <v>0.23196295812340853</v>
      </c>
      <c r="I565" s="214">
        <f t="shared" si="259"/>
        <v>0.26004025027074668</v>
      </c>
      <c r="J565" s="206"/>
      <c r="K565" s="216">
        <f>I545</f>
        <v>3.6652135226628069</v>
      </c>
      <c r="L565" s="217">
        <f t="shared" ref="L565:O565" si="260">J545</f>
        <v>2.4930729233087279</v>
      </c>
      <c r="M565" s="217">
        <f t="shared" si="260"/>
        <v>2.0266730943308326</v>
      </c>
      <c r="N565" s="217">
        <f t="shared" si="260"/>
        <v>1.0353101844306647</v>
      </c>
      <c r="O565" s="218">
        <f t="shared" si="260"/>
        <v>1.033813393242772</v>
      </c>
      <c r="P565" s="206"/>
      <c r="Q565" s="216">
        <f>I524</f>
        <v>0.90749951106970017</v>
      </c>
      <c r="R565" s="217">
        <f t="shared" ref="R565:U565" si="261">J524</f>
        <v>0.76756733999599425</v>
      </c>
      <c r="S565" s="217">
        <f t="shared" si="261"/>
        <v>0.66881202870074985</v>
      </c>
      <c r="T565" s="217">
        <f t="shared" si="261"/>
        <v>1.01978839982769</v>
      </c>
      <c r="U565" s="218">
        <f t="shared" si="261"/>
        <v>0.97797368444981958</v>
      </c>
      <c r="V565" s="206"/>
      <c r="W565" s="206"/>
      <c r="X565" s="206"/>
    </row>
    <row r="566" spans="2:24" s="205" customFormat="1" ht="16" hidden="1" outlineLevel="1" thickBot="1" x14ac:dyDescent="0.4">
      <c r="B566" s="206"/>
      <c r="C566" s="206"/>
      <c r="D566" s="206"/>
      <c r="E566" s="206"/>
      <c r="F566" s="206"/>
      <c r="G566" s="206"/>
      <c r="H566" s="206"/>
      <c r="I566" s="206"/>
      <c r="J566" s="206"/>
      <c r="K566" s="206"/>
      <c r="L566" s="206"/>
      <c r="M566" s="206"/>
      <c r="N566" s="206"/>
      <c r="O566" s="206"/>
      <c r="P566" s="206"/>
      <c r="Q566" s="206"/>
      <c r="R566" s="206"/>
      <c r="S566" s="206"/>
      <c r="T566" s="206"/>
      <c r="U566" s="206"/>
      <c r="V566" s="206"/>
      <c r="W566" s="206"/>
      <c r="X566" s="206"/>
    </row>
    <row r="567" spans="2:24" s="205" customFormat="1" hidden="1" outlineLevel="1" x14ac:dyDescent="0.35">
      <c r="B567" s="219" t="str">
        <f>A547</f>
        <v>Capital Structure Impact</v>
      </c>
      <c r="C567" s="220"/>
      <c r="D567" s="220"/>
      <c r="E567" s="220"/>
      <c r="F567" s="221"/>
      <c r="G567" s="206"/>
      <c r="H567" s="207" t="str">
        <f>A514</f>
        <v>Tax Ratio</v>
      </c>
      <c r="I567" s="208"/>
      <c r="J567" s="208"/>
      <c r="K567" s="208"/>
      <c r="L567" s="209"/>
      <c r="M567" s="206"/>
      <c r="N567" s="235" t="str">
        <f>A536</f>
        <v>PP&amp;E Turnover Ratio</v>
      </c>
      <c r="O567" s="208"/>
      <c r="P567" s="208"/>
      <c r="Q567" s="208"/>
      <c r="R567" s="209"/>
      <c r="S567" s="206"/>
      <c r="T567" s="207" t="str">
        <f>A537</f>
        <v>Working Capital Turnover</v>
      </c>
      <c r="U567" s="208"/>
      <c r="V567" s="208"/>
      <c r="W567" s="208"/>
      <c r="X567" s="209"/>
    </row>
    <row r="568" spans="2:24" s="205" customFormat="1" hidden="1" outlineLevel="1" x14ac:dyDescent="0.35">
      <c r="B568" s="230">
        <f>+K559</f>
        <v>2018</v>
      </c>
      <c r="C568" s="231">
        <f>+L559</f>
        <v>2019</v>
      </c>
      <c r="D568" s="231">
        <f>+M559</f>
        <v>2020</v>
      </c>
      <c r="E568" s="231">
        <f>+N559</f>
        <v>2021</v>
      </c>
      <c r="F568" s="232">
        <f>+O559</f>
        <v>2022</v>
      </c>
      <c r="G568" s="206"/>
      <c r="H568" s="230">
        <f>H580</f>
        <v>2018</v>
      </c>
      <c r="I568" s="231">
        <f>I580</f>
        <v>2019</v>
      </c>
      <c r="J568" s="231">
        <f>J580</f>
        <v>2020</v>
      </c>
      <c r="K568" s="231">
        <f>K580</f>
        <v>2021</v>
      </c>
      <c r="L568" s="232">
        <f>L580</f>
        <v>2022</v>
      </c>
      <c r="M568" s="206"/>
      <c r="N568" s="230">
        <f>Q564</f>
        <v>2018</v>
      </c>
      <c r="O568" s="231">
        <f>R564</f>
        <v>2019</v>
      </c>
      <c r="P568" s="231">
        <f>S564</f>
        <v>2020</v>
      </c>
      <c r="Q568" s="231">
        <f>T564</f>
        <v>2021</v>
      </c>
      <c r="R568" s="232">
        <f>U564</f>
        <v>2022</v>
      </c>
      <c r="S568" s="206"/>
      <c r="T568" s="230">
        <f>Q564</f>
        <v>2018</v>
      </c>
      <c r="U568" s="231">
        <f>R564</f>
        <v>2019</v>
      </c>
      <c r="V568" s="231">
        <f>S564</f>
        <v>2020</v>
      </c>
      <c r="W568" s="231">
        <f>T564</f>
        <v>2021</v>
      </c>
      <c r="X568" s="232">
        <f>U564</f>
        <v>2022</v>
      </c>
    </row>
    <row r="569" spans="2:24" s="205" customFormat="1" ht="16" hidden="1" outlineLevel="1" thickBot="1" x14ac:dyDescent="0.4">
      <c r="B569" s="216">
        <f>I547</f>
        <v>0.88188910875173798</v>
      </c>
      <c r="C569" s="217">
        <f t="shared" ref="C569:F569" si="262">J547</f>
        <v>0.88512573548738593</v>
      </c>
      <c r="D569" s="217">
        <f t="shared" si="262"/>
        <v>0.88862022733990431</v>
      </c>
      <c r="E569" s="217">
        <f t="shared" si="262"/>
        <v>0.89202712996120848</v>
      </c>
      <c r="F569" s="218">
        <f t="shared" si="262"/>
        <v>1</v>
      </c>
      <c r="G569" s="206"/>
      <c r="H569" s="212">
        <f>I514</f>
        <v>0.2</v>
      </c>
      <c r="I569" s="213">
        <f t="shared" ref="I569:L569" si="263">J514</f>
        <v>0.2</v>
      </c>
      <c r="J569" s="213">
        <f t="shared" si="263"/>
        <v>0.2</v>
      </c>
      <c r="K569" s="213">
        <f t="shared" si="263"/>
        <v>0.2</v>
      </c>
      <c r="L569" s="214">
        <f t="shared" si="263"/>
        <v>0.2</v>
      </c>
      <c r="M569" s="206"/>
      <c r="N569" s="216">
        <f>I536</f>
        <v>1.1046902187959964</v>
      </c>
      <c r="O569" s="217">
        <f t="shared" ref="O569:R569" si="264">J536</f>
        <v>1.1358152920396329</v>
      </c>
      <c r="P569" s="217">
        <f t="shared" si="264"/>
        <v>1.1714510020900657</v>
      </c>
      <c r="Q569" s="217">
        <f t="shared" si="264"/>
        <v>1.2084141715262045</v>
      </c>
      <c r="R569" s="218">
        <f t="shared" si="264"/>
        <v>1.2467569190333139</v>
      </c>
      <c r="S569" s="206"/>
      <c r="T569" s="216">
        <f>D537</f>
        <v>9.9371468098695175</v>
      </c>
      <c r="U569" s="217">
        <f t="shared" ref="U569:X569" si="265">E537</f>
        <v>9.8498380544322188</v>
      </c>
      <c r="V569" s="217">
        <f t="shared" si="265"/>
        <v>10.203210704823945</v>
      </c>
      <c r="W569" s="217">
        <f t="shared" si="265"/>
        <v>10.123039023806077</v>
      </c>
      <c r="X569" s="218">
        <f t="shared" si="265"/>
        <v>10.100404861168313</v>
      </c>
    </row>
    <row r="570" spans="2:24" s="205" customFormat="1" ht="16" hidden="1" outlineLevel="1" thickBot="1" x14ac:dyDescent="0.4">
      <c r="B570" s="206"/>
      <c r="C570" s="206"/>
      <c r="D570" s="206"/>
      <c r="E570" s="206"/>
      <c r="F570" s="206"/>
      <c r="G570" s="206"/>
      <c r="H570" s="206"/>
      <c r="I570" s="206"/>
      <c r="J570" s="206"/>
      <c r="K570" s="206"/>
      <c r="L570" s="206"/>
      <c r="M570" s="206"/>
      <c r="N570" s="206"/>
      <c r="O570" s="206"/>
      <c r="P570" s="206"/>
      <c r="Q570" s="206"/>
      <c r="R570" s="206"/>
      <c r="S570" s="206"/>
      <c r="T570" s="206"/>
      <c r="U570" s="206"/>
      <c r="V570" s="206"/>
      <c r="W570" s="206"/>
      <c r="X570" s="206"/>
    </row>
    <row r="571" spans="2:24" s="205" customFormat="1" hidden="1" outlineLevel="1" x14ac:dyDescent="0.35">
      <c r="B571" s="206"/>
      <c r="C571" s="206"/>
      <c r="D571" s="206"/>
      <c r="E571" s="207" t="str">
        <f>A511</f>
        <v>Operating Profit Ratio</v>
      </c>
      <c r="F571" s="208"/>
      <c r="G571" s="208"/>
      <c r="H571" s="208"/>
      <c r="I571" s="209"/>
      <c r="J571" s="206"/>
      <c r="K571" s="206"/>
      <c r="L571" s="206"/>
      <c r="M571" s="206"/>
      <c r="N571" s="206"/>
      <c r="O571" s="206"/>
      <c r="P571" s="206"/>
      <c r="Q571" s="206"/>
      <c r="R571" s="206"/>
      <c r="S571" s="206"/>
      <c r="T571" s="206"/>
      <c r="U571" s="206"/>
      <c r="V571" s="206"/>
      <c r="W571" s="206"/>
      <c r="X571" s="206"/>
    </row>
    <row r="572" spans="2:24" s="205" customFormat="1" hidden="1" outlineLevel="1" x14ac:dyDescent="0.35">
      <c r="B572" s="206"/>
      <c r="C572" s="206"/>
      <c r="D572" s="206"/>
      <c r="E572" s="230">
        <f>K559</f>
        <v>2018</v>
      </c>
      <c r="F572" s="231">
        <f>L559</f>
        <v>2019</v>
      </c>
      <c r="G572" s="231">
        <f>M559</f>
        <v>2020</v>
      </c>
      <c r="H572" s="231">
        <f>N559</f>
        <v>2021</v>
      </c>
      <c r="I572" s="232">
        <f>O559</f>
        <v>2022</v>
      </c>
      <c r="J572" s="206"/>
      <c r="K572" s="206"/>
      <c r="L572" s="206"/>
      <c r="M572" s="206"/>
      <c r="N572" s="206"/>
      <c r="O572" s="206"/>
      <c r="P572" s="206"/>
      <c r="Q572" s="206"/>
      <c r="R572" s="206"/>
      <c r="S572" s="206"/>
      <c r="T572" s="206"/>
      <c r="U572" s="206"/>
      <c r="V572" s="206"/>
      <c r="W572" s="206"/>
      <c r="X572" s="206"/>
    </row>
    <row r="573" spans="2:24" s="205" customFormat="1" ht="16" hidden="1" outlineLevel="1" thickBot="1" x14ac:dyDescent="0.4">
      <c r="B573" s="206"/>
      <c r="C573" s="206"/>
      <c r="D573" s="206"/>
      <c r="E573" s="212">
        <f>I511</f>
        <v>0.32505031283843344</v>
      </c>
      <c r="F573" s="213">
        <f t="shared" ref="F573:I573" si="266">J511</f>
        <v>0.32505031283843333</v>
      </c>
      <c r="G573" s="213">
        <f t="shared" si="266"/>
        <v>0.32505031283843328</v>
      </c>
      <c r="H573" s="213">
        <f t="shared" si="266"/>
        <v>0.32505031283843333</v>
      </c>
      <c r="I573" s="214">
        <f t="shared" si="266"/>
        <v>0.32505031283843339</v>
      </c>
      <c r="J573" s="206"/>
      <c r="K573" s="206"/>
      <c r="L573" s="206"/>
      <c r="M573" s="206"/>
      <c r="N573" s="206"/>
      <c r="O573" s="206"/>
      <c r="P573" s="206"/>
      <c r="Q573" s="206"/>
      <c r="R573" s="206"/>
      <c r="S573" s="206"/>
      <c r="T573" s="206"/>
      <c r="U573" s="206"/>
      <c r="V573" s="206"/>
      <c r="W573" s="206"/>
      <c r="X573" s="206"/>
    </row>
    <row r="574" spans="2:24" s="205" customFormat="1" ht="16" hidden="1" outlineLevel="1" thickBot="1" x14ac:dyDescent="0.4">
      <c r="B574" s="206"/>
      <c r="C574" s="206"/>
      <c r="D574" s="206"/>
      <c r="E574" s="206"/>
      <c r="F574" s="206"/>
      <c r="G574" s="206"/>
      <c r="H574" s="206"/>
      <c r="I574" s="206"/>
      <c r="J574" s="206"/>
      <c r="K574" s="206"/>
      <c r="L574" s="206"/>
      <c r="M574" s="206"/>
      <c r="N574" s="206"/>
      <c r="O574" s="206"/>
      <c r="P574" s="206"/>
      <c r="Q574" s="206"/>
      <c r="R574" s="206"/>
      <c r="S574" s="206"/>
      <c r="T574" s="206"/>
      <c r="U574" s="206"/>
      <c r="V574" s="206"/>
      <c r="W574" s="206"/>
      <c r="X574" s="206"/>
    </row>
    <row r="575" spans="2:24" s="205" customFormat="1" hidden="1" outlineLevel="1" x14ac:dyDescent="0.35">
      <c r="B575" s="207" t="str">
        <f>A510</f>
        <v>Gross Profit Ratio</v>
      </c>
      <c r="C575" s="208"/>
      <c r="D575" s="208"/>
      <c r="E575" s="208"/>
      <c r="F575" s="209"/>
      <c r="G575" s="206"/>
      <c r="H575" s="207" t="s">
        <v>189</v>
      </c>
      <c r="I575" s="208"/>
      <c r="J575" s="208"/>
      <c r="K575" s="208"/>
      <c r="L575" s="209"/>
      <c r="M575" s="206"/>
      <c r="N575" s="207" t="str">
        <f>A534</f>
        <v>Accounts Payable Ratio</v>
      </c>
      <c r="O575" s="208"/>
      <c r="P575" s="208"/>
      <c r="Q575" s="208"/>
      <c r="R575" s="209"/>
      <c r="S575" s="206"/>
      <c r="T575" s="207" t="str">
        <f>A530</f>
        <v>Inventory Turnover Ratio</v>
      </c>
      <c r="U575" s="208"/>
      <c r="V575" s="208"/>
      <c r="W575" s="208"/>
      <c r="X575" s="209"/>
    </row>
    <row r="576" spans="2:24" s="205" customFormat="1" hidden="1" outlineLevel="1" x14ac:dyDescent="0.35">
      <c r="B576" s="230">
        <f>E564</f>
        <v>2018</v>
      </c>
      <c r="C576" s="231">
        <f>F564</f>
        <v>2019</v>
      </c>
      <c r="D576" s="231">
        <f>G564</f>
        <v>2020</v>
      </c>
      <c r="E576" s="231">
        <f>H564</f>
        <v>2021</v>
      </c>
      <c r="F576" s="232">
        <f>I564</f>
        <v>2022</v>
      </c>
      <c r="G576" s="206"/>
      <c r="H576" s="230">
        <f>E564</f>
        <v>2018</v>
      </c>
      <c r="I576" s="231">
        <f>F564</f>
        <v>2019</v>
      </c>
      <c r="J576" s="231">
        <f>G564</f>
        <v>2020</v>
      </c>
      <c r="K576" s="231">
        <f>H564</f>
        <v>2021</v>
      </c>
      <c r="L576" s="232">
        <f>I564</f>
        <v>2022</v>
      </c>
      <c r="M576" s="206"/>
      <c r="N576" s="230">
        <f>Q580</f>
        <v>2018</v>
      </c>
      <c r="O576" s="231">
        <f>R580</f>
        <v>2019</v>
      </c>
      <c r="P576" s="231">
        <f>S580</f>
        <v>2020</v>
      </c>
      <c r="Q576" s="231">
        <f>T580</f>
        <v>2021</v>
      </c>
      <c r="R576" s="232">
        <f>U580</f>
        <v>2022</v>
      </c>
      <c r="S576" s="206"/>
      <c r="T576" s="230">
        <f>Q564</f>
        <v>2018</v>
      </c>
      <c r="U576" s="231">
        <f>R564</f>
        <v>2019</v>
      </c>
      <c r="V576" s="231">
        <f>S564</f>
        <v>2020</v>
      </c>
      <c r="W576" s="231">
        <f>T564</f>
        <v>2021</v>
      </c>
      <c r="X576" s="232">
        <f>U564</f>
        <v>2022</v>
      </c>
    </row>
    <row r="577" spans="2:24" s="205" customFormat="1" ht="16" hidden="1" outlineLevel="1" thickBot="1" x14ac:dyDescent="0.4">
      <c r="B577" s="212">
        <f>I510</f>
        <v>0.593096859338896</v>
      </c>
      <c r="C577" s="213">
        <f t="shared" ref="C577:F577" si="267">J510</f>
        <v>0.59309685933889589</v>
      </c>
      <c r="D577" s="213">
        <f t="shared" si="267"/>
        <v>0.59309685933889589</v>
      </c>
      <c r="E577" s="213">
        <f t="shared" si="267"/>
        <v>0.59309685933889589</v>
      </c>
      <c r="F577" s="214">
        <f t="shared" si="267"/>
        <v>0.59309685933889589</v>
      </c>
      <c r="G577" s="206"/>
      <c r="H577" s="212" t="s">
        <v>226</v>
      </c>
      <c r="I577" s="213" t="s">
        <v>226</v>
      </c>
      <c r="J577" s="213" t="s">
        <v>226</v>
      </c>
      <c r="K577" s="213" t="s">
        <v>226</v>
      </c>
      <c r="L577" s="214" t="s">
        <v>226</v>
      </c>
      <c r="M577" s="206"/>
      <c r="N577" s="216">
        <f>I534</f>
        <v>12.166666666666668</v>
      </c>
      <c r="O577" s="217">
        <f t="shared" ref="O577:R577" si="268">J534</f>
        <v>12.166666666666668</v>
      </c>
      <c r="P577" s="217">
        <f t="shared" si="268"/>
        <v>12.200000000000001</v>
      </c>
      <c r="Q577" s="217">
        <f t="shared" si="268"/>
        <v>12.166666666666668</v>
      </c>
      <c r="R577" s="218">
        <f t="shared" si="268"/>
        <v>12.166666666666668</v>
      </c>
      <c r="S577" s="206"/>
      <c r="T577" s="216">
        <f>I530</f>
        <v>8.295454545454545</v>
      </c>
      <c r="U577" s="217">
        <f t="shared" ref="U577:X577" si="269">J530</f>
        <v>8.295454545454545</v>
      </c>
      <c r="V577" s="217">
        <f t="shared" si="269"/>
        <v>8.3181818181818183</v>
      </c>
      <c r="W577" s="217">
        <f t="shared" si="269"/>
        <v>8.2954545454545467</v>
      </c>
      <c r="X577" s="218">
        <f t="shared" si="269"/>
        <v>8.295454545454545</v>
      </c>
    </row>
    <row r="578" spans="2:24" s="205" customFormat="1" ht="16" hidden="1" outlineLevel="1" thickBot="1" x14ac:dyDescent="0.4">
      <c r="B578" s="206"/>
      <c r="C578" s="206"/>
      <c r="D578" s="206"/>
      <c r="E578" s="206"/>
      <c r="F578" s="206"/>
      <c r="G578" s="206"/>
      <c r="H578" s="206"/>
      <c r="I578" s="206"/>
      <c r="J578" s="206"/>
      <c r="K578" s="206"/>
      <c r="L578" s="206"/>
      <c r="M578" s="206"/>
      <c r="N578" s="206"/>
      <c r="O578" s="206"/>
      <c r="P578" s="206"/>
      <c r="Q578" s="206"/>
      <c r="R578" s="206"/>
      <c r="S578" s="206"/>
      <c r="T578" s="206"/>
      <c r="U578" s="206"/>
      <c r="V578" s="206"/>
      <c r="W578" s="206"/>
      <c r="X578" s="206"/>
    </row>
    <row r="579" spans="2:24" s="205" customFormat="1" hidden="1" outlineLevel="1" x14ac:dyDescent="0.35">
      <c r="B579" s="207" t="str">
        <f>A518</f>
        <v>Dep. &amp; Amort. as % of Revenue</v>
      </c>
      <c r="C579" s="208"/>
      <c r="D579" s="208"/>
      <c r="E579" s="208"/>
      <c r="F579" s="209"/>
      <c r="G579" s="206"/>
      <c r="H579" s="207" t="s">
        <v>190</v>
      </c>
      <c r="I579" s="208"/>
      <c r="J579" s="208"/>
      <c r="K579" s="208"/>
      <c r="L579" s="209"/>
      <c r="M579" s="206"/>
      <c r="N579"/>
      <c r="O579"/>
      <c r="P579"/>
      <c r="Q579" s="207" t="str">
        <f>A532</f>
        <v>Accounts Receivable Ratio</v>
      </c>
      <c r="R579" s="208"/>
      <c r="S579" s="208"/>
      <c r="T579" s="208"/>
      <c r="U579" s="209"/>
      <c r="V579" s="206"/>
      <c r="W579" s="206"/>
      <c r="X579" s="206"/>
    </row>
    <row r="580" spans="2:24" s="205" customFormat="1" hidden="1" outlineLevel="1" x14ac:dyDescent="0.35">
      <c r="B580" s="230">
        <f>H580</f>
        <v>2018</v>
      </c>
      <c r="C580" s="231">
        <f>I580</f>
        <v>2019</v>
      </c>
      <c r="D580" s="231">
        <f>J580</f>
        <v>2020</v>
      </c>
      <c r="E580" s="231">
        <f>K580</f>
        <v>2021</v>
      </c>
      <c r="F580" s="232">
        <f>L580</f>
        <v>2022</v>
      </c>
      <c r="G580" s="206"/>
      <c r="H580" s="230">
        <f>E564</f>
        <v>2018</v>
      </c>
      <c r="I580" s="231">
        <f>F564</f>
        <v>2019</v>
      </c>
      <c r="J580" s="231">
        <f>G564</f>
        <v>2020</v>
      </c>
      <c r="K580" s="231">
        <f>H564</f>
        <v>2021</v>
      </c>
      <c r="L580" s="232">
        <f>I564</f>
        <v>2022</v>
      </c>
      <c r="M580" s="206"/>
      <c r="N580"/>
      <c r="O580"/>
      <c r="P580"/>
      <c r="Q580" s="230">
        <f>T576</f>
        <v>2018</v>
      </c>
      <c r="R580" s="231">
        <f>U576</f>
        <v>2019</v>
      </c>
      <c r="S580" s="231">
        <f>V576</f>
        <v>2020</v>
      </c>
      <c r="T580" s="231">
        <f>W576</f>
        <v>2021</v>
      </c>
      <c r="U580" s="232">
        <f>X576</f>
        <v>2022</v>
      </c>
      <c r="V580" s="206"/>
      <c r="W580" s="206"/>
      <c r="X580" s="206"/>
    </row>
    <row r="581" spans="2:24" s="205" customFormat="1" ht="16" hidden="1" outlineLevel="1" thickBot="1" x14ac:dyDescent="0.4">
      <c r="B581" s="212">
        <f>I518</f>
        <v>4.5239155884300192E-2</v>
      </c>
      <c r="C581" s="213">
        <f t="shared" ref="C581:F581" si="270">J518</f>
        <v>4.5239155884300206E-2</v>
      </c>
      <c r="D581" s="213">
        <f t="shared" si="270"/>
        <v>4.5239155884300206E-2</v>
      </c>
      <c r="E581" s="213">
        <f t="shared" si="270"/>
        <v>4.5239155884300192E-2</v>
      </c>
      <c r="F581" s="214">
        <f t="shared" si="270"/>
        <v>4.5239155884300199E-2</v>
      </c>
      <c r="G581" s="206"/>
      <c r="H581" s="212" t="s">
        <v>226</v>
      </c>
      <c r="I581" s="213" t="s">
        <v>226</v>
      </c>
      <c r="J581" s="213" t="s">
        <v>226</v>
      </c>
      <c r="K581" s="213" t="s">
        <v>226</v>
      </c>
      <c r="L581" s="214" t="s">
        <v>226</v>
      </c>
      <c r="M581" s="206"/>
      <c r="N581"/>
      <c r="O581"/>
      <c r="P581"/>
      <c r="Q581" s="216">
        <f>I532</f>
        <v>12.586206896551722</v>
      </c>
      <c r="R581" s="217">
        <f t="shared" ref="R581:U581" si="271">J532</f>
        <v>12.586206896551724</v>
      </c>
      <c r="S581" s="217">
        <f t="shared" si="271"/>
        <v>12.620689655172413</v>
      </c>
      <c r="T581" s="217">
        <f t="shared" si="271"/>
        <v>12.586206896551722</v>
      </c>
      <c r="U581" s="218">
        <f t="shared" si="271"/>
        <v>12.586206896551722</v>
      </c>
      <c r="V581" s="206"/>
      <c r="W581" s="206"/>
      <c r="X581" s="206"/>
    </row>
    <row r="582" spans="2:24" s="205" customFormat="1" ht="16" hidden="1" outlineLevel="1" thickBot="1" x14ac:dyDescent="0.4">
      <c r="B582" s="206"/>
      <c r="C582" s="206"/>
      <c r="D582" s="206"/>
      <c r="E582" s="206"/>
      <c r="F582" s="206"/>
      <c r="G582" s="206"/>
      <c r="H582" s="206"/>
      <c r="I582" s="206"/>
      <c r="J582" s="206"/>
      <c r="K582" s="206"/>
      <c r="L582" s="206"/>
      <c r="M582" s="206"/>
      <c r="N582" s="206"/>
      <c r="O582" s="206"/>
      <c r="P582" s="206"/>
      <c r="Q582" s="206"/>
      <c r="R582" s="206"/>
      <c r="S582" s="206"/>
      <c r="T582" s="206"/>
      <c r="U582" s="206"/>
      <c r="V582" s="206"/>
      <c r="W582" s="206"/>
      <c r="X582" s="206"/>
    </row>
    <row r="583" spans="2:24" s="205" customFormat="1" hidden="1" outlineLevel="1" x14ac:dyDescent="0.35">
      <c r="B583" s="207" t="str">
        <f>A519</f>
        <v>Interest as % of Revenue</v>
      </c>
      <c r="C583" s="208"/>
      <c r="D583" s="208"/>
      <c r="E583" s="208"/>
      <c r="F583" s="209"/>
      <c r="G583" s="206"/>
      <c r="H583" s="207" t="s">
        <v>191</v>
      </c>
      <c r="I583" s="208"/>
      <c r="J583" s="208"/>
      <c r="K583" s="208"/>
      <c r="L583" s="209"/>
      <c r="M583" s="206"/>
      <c r="N583" s="206"/>
      <c r="O583" s="206"/>
      <c r="P583" s="206"/>
      <c r="Q583" s="207" t="str">
        <f>A538</f>
        <v>Cash Turnover</v>
      </c>
      <c r="R583" s="208"/>
      <c r="S583" s="208"/>
      <c r="T583" s="208"/>
      <c r="U583" s="209"/>
      <c r="V583" s="206"/>
      <c r="W583" s="206"/>
      <c r="X583" s="206"/>
    </row>
    <row r="584" spans="2:24" s="205" customFormat="1" hidden="1" outlineLevel="1" x14ac:dyDescent="0.35">
      <c r="B584" s="230">
        <f>K559</f>
        <v>2018</v>
      </c>
      <c r="C584" s="231">
        <f>L559</f>
        <v>2019</v>
      </c>
      <c r="D584" s="231">
        <f>M559</f>
        <v>2020</v>
      </c>
      <c r="E584" s="231">
        <f>N559</f>
        <v>2021</v>
      </c>
      <c r="F584" s="232">
        <f>O559</f>
        <v>2022</v>
      </c>
      <c r="G584" s="206"/>
      <c r="H584" s="230">
        <f>E564</f>
        <v>2018</v>
      </c>
      <c r="I584" s="231">
        <f>F564</f>
        <v>2019</v>
      </c>
      <c r="J584" s="231">
        <f>G564</f>
        <v>2020</v>
      </c>
      <c r="K584" s="231">
        <f>H564</f>
        <v>2021</v>
      </c>
      <c r="L584" s="232">
        <f>I564</f>
        <v>2022</v>
      </c>
      <c r="M584" s="206"/>
      <c r="N584" s="206"/>
      <c r="O584" s="206"/>
      <c r="P584" s="206"/>
      <c r="Q584" s="230">
        <f>+Q580</f>
        <v>2018</v>
      </c>
      <c r="R584" s="231">
        <f>+R580</f>
        <v>2019</v>
      </c>
      <c r="S584" s="231">
        <f>+S580</f>
        <v>2020</v>
      </c>
      <c r="T584" s="231">
        <f>+T580</f>
        <v>2021</v>
      </c>
      <c r="U584" s="232">
        <f>+U580</f>
        <v>2022</v>
      </c>
      <c r="V584" s="206"/>
      <c r="W584" s="206"/>
      <c r="X584" s="206"/>
    </row>
    <row r="585" spans="2:24" s="205" customFormat="1" ht="16" hidden="1" outlineLevel="1" thickBot="1" x14ac:dyDescent="0.4">
      <c r="B585" s="212">
        <f>I519</f>
        <v>3.8391982149873771E-2</v>
      </c>
      <c r="C585" s="213">
        <f t="shared" ref="C585:F585" si="272">J519</f>
        <v>3.7339915616910149E-2</v>
      </c>
      <c r="D585" s="213">
        <f t="shared" si="272"/>
        <v>3.620402994703769E-2</v>
      </c>
      <c r="E585" s="213">
        <f t="shared" si="272"/>
        <v>3.5096615184172689E-2</v>
      </c>
      <c r="F585" s="214">
        <f t="shared" si="272"/>
        <v>0</v>
      </c>
      <c r="G585" s="206"/>
      <c r="H585" s="212" t="s">
        <v>226</v>
      </c>
      <c r="I585" s="213" t="s">
        <v>226</v>
      </c>
      <c r="J585" s="213" t="s">
        <v>226</v>
      </c>
      <c r="K585" s="213" t="s">
        <v>226</v>
      </c>
      <c r="L585" s="214" t="s">
        <v>226</v>
      </c>
      <c r="M585" s="206"/>
      <c r="N585" s="206"/>
      <c r="O585" s="206"/>
      <c r="P585" s="206"/>
      <c r="Q585" s="216">
        <f>I538</f>
        <v>14.663955631846614</v>
      </c>
      <c r="R585" s="217">
        <f t="shared" ref="R585:U585" si="273">J538</f>
        <v>3.4026446082603585</v>
      </c>
      <c r="S585" s="217">
        <f t="shared" si="273"/>
        <v>1.9478219853085581</v>
      </c>
      <c r="T585" s="217">
        <f t="shared" si="273"/>
        <v>40.714381647555889</v>
      </c>
      <c r="U585" s="218">
        <f t="shared" si="273"/>
        <v>10.876890810458674</v>
      </c>
      <c r="V585" s="206"/>
      <c r="W585" s="206"/>
      <c r="X585" s="206"/>
    </row>
    <row r="586" spans="2:24" s="205" customFormat="1" ht="16" hidden="1" outlineLevel="1" thickBot="1" x14ac:dyDescent="0.4"/>
    <row r="587" spans="2:24" s="205" customFormat="1" hidden="1" outlineLevel="1" x14ac:dyDescent="0.35">
      <c r="B587" s="207" t="s">
        <v>192</v>
      </c>
      <c r="C587" s="208"/>
      <c r="D587" s="208"/>
      <c r="E587" s="208"/>
      <c r="F587" s="209"/>
      <c r="H587" s="207" t="s">
        <v>193</v>
      </c>
      <c r="I587" s="208"/>
      <c r="J587" s="208"/>
      <c r="K587" s="208"/>
      <c r="L587" s="209"/>
    </row>
    <row r="588" spans="2:24" s="205" customFormat="1" hidden="1" outlineLevel="1" x14ac:dyDescent="0.35">
      <c r="B588" s="230">
        <f>K559</f>
        <v>2018</v>
      </c>
      <c r="C588" s="231">
        <f t="shared" ref="C588:F588" si="274">L559</f>
        <v>2019</v>
      </c>
      <c r="D588" s="231">
        <f t="shared" si="274"/>
        <v>2020</v>
      </c>
      <c r="E588" s="231">
        <f t="shared" si="274"/>
        <v>2021</v>
      </c>
      <c r="F588" s="232">
        <f t="shared" si="274"/>
        <v>2022</v>
      </c>
      <c r="H588" s="230">
        <f>K559</f>
        <v>2018</v>
      </c>
      <c r="I588" s="231">
        <f t="shared" ref="I588:L588" si="275">L559</f>
        <v>2019</v>
      </c>
      <c r="J588" s="231">
        <f t="shared" si="275"/>
        <v>2020</v>
      </c>
      <c r="K588" s="231">
        <f t="shared" si="275"/>
        <v>2021</v>
      </c>
      <c r="L588" s="232">
        <f t="shared" si="275"/>
        <v>2022</v>
      </c>
    </row>
    <row r="589" spans="2:24" s="205" customFormat="1" ht="16" hidden="1" outlineLevel="1" thickBot="1" x14ac:dyDescent="0.4">
      <c r="B589" s="212" t="s">
        <v>226</v>
      </c>
      <c r="C589" s="213" t="s">
        <v>226</v>
      </c>
      <c r="D589" s="213" t="s">
        <v>226</v>
      </c>
      <c r="E589" s="213" t="s">
        <v>226</v>
      </c>
      <c r="F589" s="214" t="s">
        <v>226</v>
      </c>
      <c r="H589" s="212" t="s">
        <v>226</v>
      </c>
      <c r="I589" s="213" t="s">
        <v>226</v>
      </c>
      <c r="J589" s="213" t="s">
        <v>226</v>
      </c>
      <c r="K589" s="213" t="s">
        <v>226</v>
      </c>
      <c r="L589" s="214" t="s">
        <v>226</v>
      </c>
    </row>
    <row r="590" spans="2:24" s="205" customFormat="1" hidden="1" outlineLevel="1" x14ac:dyDescent="0.35"/>
    <row r="591" spans="2:24" s="205" customFormat="1" ht="16" hidden="1" outlineLevel="1" thickBot="1" x14ac:dyDescent="0.4"/>
    <row r="592" spans="2:24" s="205" customFormat="1" hidden="1" outlineLevel="1" x14ac:dyDescent="0.35">
      <c r="B592" s="207" t="s">
        <v>228</v>
      </c>
      <c r="C592" s="208"/>
      <c r="D592" s="208"/>
      <c r="E592" s="208"/>
      <c r="F592" s="208"/>
      <c r="G592" s="208"/>
      <c r="H592" s="208"/>
      <c r="I592" s="209"/>
      <c r="K592" s="207" t="s">
        <v>229</v>
      </c>
      <c r="L592" s="208"/>
      <c r="M592" s="208"/>
      <c r="N592" s="208"/>
      <c r="O592" s="208"/>
      <c r="P592" s="208"/>
      <c r="Q592" s="208"/>
      <c r="R592" s="209"/>
    </row>
    <row r="593" spans="2:18" s="205" customFormat="1" hidden="1" outlineLevel="1" x14ac:dyDescent="0.35">
      <c r="B593" s="222"/>
      <c r="C593" s="206"/>
      <c r="D593" s="206"/>
      <c r="E593" s="231">
        <f>K559</f>
        <v>2018</v>
      </c>
      <c r="F593" s="231">
        <f>L559</f>
        <v>2019</v>
      </c>
      <c r="G593" s="231">
        <f>M559</f>
        <v>2020</v>
      </c>
      <c r="H593" s="231">
        <f>N559</f>
        <v>2021</v>
      </c>
      <c r="I593" s="232">
        <f>O559</f>
        <v>2022</v>
      </c>
      <c r="K593" s="222"/>
      <c r="L593" s="206"/>
      <c r="M593" s="206"/>
      <c r="N593" s="231">
        <f>E593</f>
        <v>2018</v>
      </c>
      <c r="O593" s="231">
        <f>F593</f>
        <v>2019</v>
      </c>
      <c r="P593" s="231">
        <f>G593</f>
        <v>2020</v>
      </c>
      <c r="Q593" s="231">
        <f>H593</f>
        <v>2021</v>
      </c>
      <c r="R593" s="232">
        <f>I593</f>
        <v>2022</v>
      </c>
    </row>
    <row r="594" spans="2:18" s="205" customFormat="1" hidden="1" outlineLevel="1" x14ac:dyDescent="0.35">
      <c r="B594" s="223" t="s">
        <v>212</v>
      </c>
      <c r="C594" s="215"/>
      <c r="D594" s="215"/>
      <c r="E594" s="224">
        <f>I544</f>
        <v>2.665213522662806</v>
      </c>
      <c r="F594" s="224">
        <f t="shared" ref="F594:I594" si="276">J544</f>
        <v>1.4930729233087274</v>
      </c>
      <c r="G594" s="224">
        <f t="shared" si="276"/>
        <v>1.0266730943308326</v>
      </c>
      <c r="H594" s="224">
        <f t="shared" si="276"/>
        <v>3.5310184430664561E-2</v>
      </c>
      <c r="I594" s="225">
        <f t="shared" si="276"/>
        <v>3.381339324277205E-2</v>
      </c>
      <c r="K594" s="223" t="s">
        <v>195</v>
      </c>
      <c r="L594" s="215"/>
      <c r="M594" s="215"/>
      <c r="N594" s="224">
        <f>I523</f>
        <v>5.8813917104381428</v>
      </c>
      <c r="O594" s="224">
        <f t="shared" ref="O594:R594" si="277">J523</f>
        <v>12.629806863465069</v>
      </c>
      <c r="P594" s="224">
        <f t="shared" si="277"/>
        <v>19.235201707394886</v>
      </c>
      <c r="Q594" s="224">
        <f t="shared" si="277"/>
        <v>4.5767345070084735</v>
      </c>
      <c r="R594" s="225">
        <f t="shared" si="277"/>
        <v>6.5913411159243696</v>
      </c>
    </row>
    <row r="595" spans="2:18" s="205" customFormat="1" ht="16" hidden="1" outlineLevel="1" thickBot="1" x14ac:dyDescent="0.4">
      <c r="B595" s="226" t="s">
        <v>209</v>
      </c>
      <c r="C595" s="227"/>
      <c r="D595" s="227"/>
      <c r="E595" s="228">
        <f>I541</f>
        <v>2.5539724643017623</v>
      </c>
      <c r="F595" s="228">
        <f t="shared" ref="F595:I595" si="278">J541</f>
        <v>1.4290742602812792</v>
      </c>
      <c r="G595" s="228">
        <f t="shared" si="278"/>
        <v>0.98146470977215983</v>
      </c>
      <c r="H595" s="228">
        <f t="shared" si="278"/>
        <v>0</v>
      </c>
      <c r="I595" s="229">
        <f t="shared" si="278"/>
        <v>0</v>
      </c>
      <c r="K595" s="226" t="s">
        <v>194</v>
      </c>
      <c r="L595" s="227"/>
      <c r="M595" s="227"/>
      <c r="N595" s="228">
        <f>I522</f>
        <v>4.4147250437714751</v>
      </c>
      <c r="O595" s="228">
        <f t="shared" ref="O595:R595" si="279">J522</f>
        <v>11.163140196798402</v>
      </c>
      <c r="P595" s="228">
        <f t="shared" si="279"/>
        <v>17.768535040728217</v>
      </c>
      <c r="Q595" s="228">
        <f t="shared" si="279"/>
        <v>3.1100678403418067</v>
      </c>
      <c r="R595" s="229">
        <f t="shared" si="279"/>
        <v>5.1246744492577019</v>
      </c>
    </row>
    <row r="596" spans="2:18" s="205" customFormat="1" hidden="1" outlineLevel="1" x14ac:dyDescent="0.35">
      <c r="B596" s="206"/>
      <c r="C596" s="206"/>
      <c r="D596" s="206"/>
      <c r="E596" s="206"/>
      <c r="F596" s="206"/>
      <c r="G596" s="206"/>
      <c r="H596" s="206"/>
      <c r="I596" s="206"/>
    </row>
    <row r="597" spans="2:18" collapsed="1" x14ac:dyDescent="0.35"/>
  </sheetData>
  <sheetProtection formatCells="0" formatColumns="0" formatRows="0" insertColumns="0" insertRows="0" insertHyperlinks="0" deleteColumns="0" deleteRows="0" sort="0" autoFilter="0" pivotTables="0"/>
  <sortState xmlns:xlrd2="http://schemas.microsoft.com/office/spreadsheetml/2017/richdata2" ref="K233:N237">
    <sortCondition ref="N233:N237"/>
  </sortState>
  <conditionalFormatting sqref="D3:M3 G4:M4 D4:E4">
    <cfRule type="containsText" dxfId="1" priority="1" operator="containsText" text="OK">
      <formula>NOT(ISERROR(SEARCH("OK",D3)))</formula>
    </cfRule>
    <cfRule type="containsText" dxfId="0" priority="2" operator="containsText" text="ERROR">
      <formula>NOT(ISERROR(SEARCH("ERROR",D3)))</formula>
    </cfRule>
  </conditionalFormatting>
  <dataValidations count="1">
    <dataValidation type="list" allowBlank="1" showInputMessage="1" showErrorMessage="1" sqref="I4" xr:uid="{84A8E616-5A8D-4B6A-8A26-5C56BF90B59E}">
      <formula1>"1,2,3"</formula1>
    </dataValidation>
  </dataValidations>
  <pageMargins left="0.70866141732283472" right="0.70866141732283472" top="0.74803149606299213" bottom="0.74803149606299213" header="0.31496062992125984" footer="0.31496062992125984"/>
  <pageSetup scale="78" orientation="landscape" r:id="rId1"/>
  <ignoredErrors>
    <ignoredError sqref="C246:I246" emptyCellReference="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DEDA9-AF02-49D9-A2FD-A7456641ECB7}">
  <dimension ref="A1:P96"/>
  <sheetViews>
    <sheetView showGridLines="0" zoomScale="90" zoomScaleNormal="90" workbookViewId="0">
      <pane ySplit="2" topLeftCell="A3" activePane="bottomLeft" state="frozen"/>
      <selection pane="bottomLeft" activeCell="P12" sqref="P12"/>
    </sheetView>
  </sheetViews>
  <sheetFormatPr defaultColWidth="8.81640625" defaultRowHeight="14" x14ac:dyDescent="0.3"/>
  <cols>
    <col min="1" max="13" width="10.81640625" style="91" customWidth="1"/>
    <col min="14" max="14" width="8.81640625" style="91"/>
    <col min="15" max="15" width="9.1796875" style="91" bestFit="1" customWidth="1"/>
    <col min="16" max="16384" width="8.81640625" style="91"/>
  </cols>
  <sheetData>
    <row r="1" spans="1:16" s="6" customFormat="1" ht="15.5" x14ac:dyDescent="0.35">
      <c r="A1" s="176"/>
      <c r="B1" s="177"/>
      <c r="C1" s="178"/>
      <c r="D1" s="70" t="s">
        <v>50</v>
      </c>
      <c r="E1" s="71"/>
      <c r="F1" s="71"/>
      <c r="G1" s="71"/>
      <c r="H1" s="71"/>
      <c r="I1" s="154" t="s">
        <v>61</v>
      </c>
      <c r="J1" s="155"/>
      <c r="K1" s="155"/>
      <c r="L1" s="155"/>
      <c r="M1" s="155"/>
    </row>
    <row r="2" spans="1:16" s="6" customFormat="1" ht="21" customHeight="1" x14ac:dyDescent="0.4">
      <c r="A2" s="179" t="s">
        <v>116</v>
      </c>
      <c r="B2" s="180"/>
      <c r="C2" s="181"/>
      <c r="D2" s="72">
        <f>'Business Valuation (DFC) Model'!D2</f>
        <v>2013</v>
      </c>
      <c r="E2" s="72">
        <f>'Business Valuation (DFC) Model'!E2</f>
        <v>2014</v>
      </c>
      <c r="F2" s="72">
        <f>'Business Valuation (DFC) Model'!F2</f>
        <v>2015</v>
      </c>
      <c r="G2" s="72">
        <f>'Business Valuation (DFC) Model'!G2</f>
        <v>2016</v>
      </c>
      <c r="H2" s="72">
        <f>'Business Valuation (DFC) Model'!H2</f>
        <v>2017</v>
      </c>
      <c r="I2" s="156">
        <f>'Business Valuation (DFC) Model'!I2</f>
        <v>2018</v>
      </c>
      <c r="J2" s="156">
        <f>'Business Valuation (DFC) Model'!J2</f>
        <v>2019</v>
      </c>
      <c r="K2" s="156">
        <f>'Business Valuation (DFC) Model'!K2</f>
        <v>2020</v>
      </c>
      <c r="L2" s="156">
        <f>'Business Valuation (DFC) Model'!L2</f>
        <v>2021</v>
      </c>
      <c r="M2" s="156">
        <f>'Business Valuation (DFC) Model'!M2</f>
        <v>2022</v>
      </c>
      <c r="N2" s="23"/>
      <c r="O2" s="23"/>
      <c r="P2" s="23"/>
    </row>
    <row r="4" spans="1:16" ht="18" customHeight="1" x14ac:dyDescent="0.3">
      <c r="A4" s="238" t="s">
        <v>121</v>
      </c>
      <c r="B4" s="239"/>
      <c r="C4" s="239"/>
      <c r="D4" s="240" t="s">
        <v>237</v>
      </c>
    </row>
    <row r="6" spans="1:16" x14ac:dyDescent="0.3">
      <c r="A6" s="114">
        <v>1</v>
      </c>
      <c r="B6" s="118" t="s">
        <v>124</v>
      </c>
    </row>
    <row r="7" spans="1:16" x14ac:dyDescent="0.3">
      <c r="A7" s="114">
        <v>2</v>
      </c>
      <c r="B7" s="118" t="s">
        <v>126</v>
      </c>
      <c r="E7" s="113"/>
      <c r="F7" s="106"/>
    </row>
    <row r="8" spans="1:16" x14ac:dyDescent="0.3">
      <c r="A8" s="114">
        <v>3</v>
      </c>
      <c r="B8" s="118" t="s">
        <v>125</v>
      </c>
      <c r="E8" s="113"/>
      <c r="F8" s="106"/>
    </row>
    <row r="9" spans="1:16" x14ac:dyDescent="0.3">
      <c r="E9" s="113"/>
      <c r="F9" s="106"/>
    </row>
    <row r="10" spans="1:16" x14ac:dyDescent="0.3">
      <c r="A10" s="242" t="s">
        <v>269</v>
      </c>
      <c r="E10" s="243">
        <v>61540</v>
      </c>
      <c r="F10" s="106"/>
    </row>
    <row r="11" spans="1:16" x14ac:dyDescent="0.3">
      <c r="A11" s="241" t="s">
        <v>238</v>
      </c>
      <c r="E11" s="244">
        <v>0.92802433511464411</v>
      </c>
      <c r="F11" s="106"/>
    </row>
    <row r="12" spans="1:16" x14ac:dyDescent="0.3">
      <c r="E12" s="113"/>
      <c r="F12" s="106"/>
    </row>
    <row r="13" spans="1:16" x14ac:dyDescent="0.3">
      <c r="A13" s="115" t="s">
        <v>127</v>
      </c>
      <c r="B13" s="94"/>
      <c r="C13" s="94"/>
    </row>
    <row r="14" spans="1:16" x14ac:dyDescent="0.3">
      <c r="A14" s="116"/>
      <c r="B14" s="116"/>
      <c r="C14" s="116"/>
      <c r="D14" s="116"/>
      <c r="E14" s="116"/>
    </row>
    <row r="15" spans="1:16" x14ac:dyDescent="0.3">
      <c r="A15" s="92" t="s">
        <v>112</v>
      </c>
      <c r="D15" s="107">
        <v>14943</v>
      </c>
      <c r="E15" s="107">
        <v>16412</v>
      </c>
      <c r="F15" s="107">
        <v>17991</v>
      </c>
      <c r="G15" s="107">
        <v>16473</v>
      </c>
      <c r="H15" s="107">
        <v>14959</v>
      </c>
      <c r="I15" s="111">
        <f>H15*(1+I16)</f>
        <v>14959</v>
      </c>
      <c r="J15" s="111">
        <f t="shared" ref="J15:M15" si="0">I15*(1+J16)</f>
        <v>14959</v>
      </c>
      <c r="K15" s="111">
        <f t="shared" si="0"/>
        <v>15108.59</v>
      </c>
      <c r="L15" s="111">
        <f t="shared" si="0"/>
        <v>15259.6759</v>
      </c>
      <c r="M15" s="111">
        <f t="shared" si="0"/>
        <v>15412.272659</v>
      </c>
    </row>
    <row r="16" spans="1:16" s="97" customFormat="1" x14ac:dyDescent="0.3">
      <c r="A16" s="98" t="s">
        <v>118</v>
      </c>
      <c r="B16" s="99"/>
      <c r="C16" s="99"/>
      <c r="D16" s="100"/>
      <c r="E16" s="101">
        <f>IFERROR(E15/D15-1,"na")</f>
        <v>9.8306899551629634E-2</v>
      </c>
      <c r="F16" s="101">
        <f t="shared" ref="F16:H16" si="1">IFERROR(F15/E15-1,"na")</f>
        <v>9.6210090177918595E-2</v>
      </c>
      <c r="G16" s="101">
        <f t="shared" si="1"/>
        <v>-8.4375521093880246E-2</v>
      </c>
      <c r="H16" s="101">
        <f t="shared" si="1"/>
        <v>-9.190797061858802E-2</v>
      </c>
      <c r="I16" s="110">
        <v>0</v>
      </c>
      <c r="J16" s="109">
        <v>0</v>
      </c>
      <c r="K16" s="109">
        <v>0.01</v>
      </c>
      <c r="L16" s="109">
        <v>0.01</v>
      </c>
      <c r="M16" s="109">
        <v>0.01</v>
      </c>
    </row>
    <row r="17" spans="1:13" x14ac:dyDescent="0.3">
      <c r="A17" s="92" t="s">
        <v>113</v>
      </c>
      <c r="D17" s="107">
        <v>20345</v>
      </c>
      <c r="E17" s="107">
        <v>20889</v>
      </c>
      <c r="F17" s="107">
        <v>20731</v>
      </c>
      <c r="G17" s="107">
        <v>22866</v>
      </c>
      <c r="H17" s="107">
        <v>24274</v>
      </c>
      <c r="I17" s="111">
        <f>H17*(1+I18)</f>
        <v>25244.959999999999</v>
      </c>
      <c r="J17" s="111">
        <f t="shared" ref="J17" si="2">I17*(1+J18)</f>
        <v>26254.758399999999</v>
      </c>
      <c r="K17" s="111">
        <f t="shared" ref="K17" si="3">J17*(1+K18)</f>
        <v>27304.948735999998</v>
      </c>
      <c r="L17" s="111">
        <f t="shared" ref="L17" si="4">K17*(1+L18)</f>
        <v>28397.146685439999</v>
      </c>
      <c r="M17" s="111">
        <f t="shared" ref="M17" si="5">L17*(1+M18)</f>
        <v>29533.0325528576</v>
      </c>
    </row>
    <row r="18" spans="1:13" s="97" customFormat="1" x14ac:dyDescent="0.3">
      <c r="A18" s="98" t="s">
        <v>118</v>
      </c>
      <c r="B18" s="99"/>
      <c r="C18" s="99"/>
      <c r="D18" s="100"/>
      <c r="E18" s="101">
        <f>IFERROR(E17/D17-1,"na")</f>
        <v>2.6738756451216483E-2</v>
      </c>
      <c r="F18" s="101">
        <f t="shared" ref="F18" si="6">IFERROR(F17/E17-1,"na")</f>
        <v>-7.5637895543109179E-3</v>
      </c>
      <c r="G18" s="101">
        <f t="shared" ref="G18" si="7">IFERROR(G17/F17-1,"na")</f>
        <v>0.10298586657662434</v>
      </c>
      <c r="H18" s="101">
        <f t="shared" ref="H18" si="8">IFERROR(H17/G17-1,"na")</f>
        <v>6.1576139246042105E-2</v>
      </c>
      <c r="I18" s="110">
        <v>0.04</v>
      </c>
      <c r="J18" s="110">
        <v>0.04</v>
      </c>
      <c r="K18" s="110">
        <v>0.04</v>
      </c>
      <c r="L18" s="110">
        <v>0.04</v>
      </c>
      <c r="M18" s="110">
        <v>0.04</v>
      </c>
    </row>
    <row r="19" spans="1:13" x14ac:dyDescent="0.3">
      <c r="A19" s="92" t="s">
        <v>114</v>
      </c>
      <c r="D19" s="107">
        <v>4722</v>
      </c>
      <c r="E19" s="107">
        <v>5806</v>
      </c>
      <c r="F19" s="107">
        <v>6721</v>
      </c>
      <c r="G19" s="107">
        <v>7283</v>
      </c>
      <c r="H19" s="107">
        <v>7903</v>
      </c>
      <c r="I19" s="111">
        <f>H19*(1+I20)</f>
        <v>8219.1200000000008</v>
      </c>
      <c r="J19" s="111">
        <f t="shared" ref="J19" si="9">I19*(1+J20)</f>
        <v>8547.8848000000016</v>
      </c>
      <c r="K19" s="111">
        <f t="shared" ref="K19" si="10">J19*(1+K20)</f>
        <v>8889.8001920000024</v>
      </c>
      <c r="L19" s="111">
        <f t="shared" ref="L19" si="11">K19*(1+L20)</f>
        <v>9245.3921996800036</v>
      </c>
      <c r="M19" s="111">
        <f t="shared" ref="M19" si="12">L19*(1+M20)</f>
        <v>9615.207887667204</v>
      </c>
    </row>
    <row r="20" spans="1:13" s="97" customFormat="1" x14ac:dyDescent="0.3">
      <c r="A20" s="98" t="s">
        <v>118</v>
      </c>
      <c r="B20" s="99"/>
      <c r="C20" s="99"/>
      <c r="D20" s="100"/>
      <c r="E20" s="101">
        <f>IFERROR(E19/D19-1,"na")</f>
        <v>0.22956374417619663</v>
      </c>
      <c r="F20" s="101">
        <f t="shared" ref="F20" si="13">IFERROR(F19/E19-1,"na")</f>
        <v>0.15759559076817076</v>
      </c>
      <c r="G20" s="101">
        <f t="shared" ref="G20" si="14">IFERROR(G19/F19-1,"na")</f>
        <v>8.3618509150424014E-2</v>
      </c>
      <c r="H20" s="101">
        <f t="shared" ref="H20" si="15">IFERROR(H19/G19-1,"na")</f>
        <v>8.512975422216118E-2</v>
      </c>
      <c r="I20" s="110">
        <v>0.04</v>
      </c>
      <c r="J20" s="110">
        <v>0.04</v>
      </c>
      <c r="K20" s="110">
        <v>0.04</v>
      </c>
      <c r="L20" s="110">
        <v>0.04</v>
      </c>
      <c r="M20" s="110">
        <v>0.04</v>
      </c>
    </row>
    <row r="21" spans="1:13" x14ac:dyDescent="0.3">
      <c r="A21" s="96" t="s">
        <v>120</v>
      </c>
      <c r="D21" s="107">
        <v>4722</v>
      </c>
      <c r="E21" s="107">
        <v>5806</v>
      </c>
      <c r="F21" s="107">
        <v>6011</v>
      </c>
      <c r="G21" s="107">
        <v>6529</v>
      </c>
      <c r="H21" s="107">
        <v>6947</v>
      </c>
      <c r="I21" s="112"/>
      <c r="J21" s="112"/>
      <c r="K21" s="112"/>
      <c r="L21" s="112"/>
      <c r="M21" s="112"/>
    </row>
    <row r="22" spans="1:13" s="97" customFormat="1" x14ac:dyDescent="0.3">
      <c r="A22" s="98" t="s">
        <v>118</v>
      </c>
      <c r="B22" s="99"/>
      <c r="C22" s="99"/>
      <c r="D22" s="100"/>
      <c r="E22" s="101">
        <f>IFERROR(E21/D21-1,"na")</f>
        <v>0.22956374417619663</v>
      </c>
      <c r="F22" s="101">
        <f t="shared" ref="F22" si="16">IFERROR(F21/E21-1,"na")</f>
        <v>3.5308301756803218E-2</v>
      </c>
      <c r="G22" s="101">
        <f t="shared" ref="G22" si="17">IFERROR(G21/F21-1,"na")</f>
        <v>8.617534520046588E-2</v>
      </c>
      <c r="H22" s="101">
        <f t="shared" ref="H22" si="18">IFERROR(H21/G21-1,"na")</f>
        <v>6.4022055444937997E-2</v>
      </c>
      <c r="I22" s="99"/>
      <c r="J22" s="99"/>
      <c r="K22" s="99"/>
      <c r="L22" s="99"/>
      <c r="M22" s="99"/>
    </row>
    <row r="23" spans="1:13" x14ac:dyDescent="0.3">
      <c r="A23" s="96" t="s">
        <v>119</v>
      </c>
      <c r="D23" s="107">
        <f>D19-D21</f>
        <v>0</v>
      </c>
      <c r="E23" s="107">
        <f t="shared" ref="E23:H23" si="19">E19-E21</f>
        <v>0</v>
      </c>
      <c r="F23" s="107">
        <f t="shared" si="19"/>
        <v>710</v>
      </c>
      <c r="G23" s="107">
        <f t="shared" si="19"/>
        <v>754</v>
      </c>
      <c r="H23" s="107">
        <f t="shared" si="19"/>
        <v>956</v>
      </c>
      <c r="I23" s="112"/>
      <c r="J23" s="112"/>
      <c r="K23" s="112"/>
      <c r="L23" s="112"/>
      <c r="M23" s="112"/>
    </row>
    <row r="24" spans="1:13" s="97" customFormat="1" x14ac:dyDescent="0.3">
      <c r="A24" s="98" t="s">
        <v>118</v>
      </c>
      <c r="B24" s="99"/>
      <c r="C24" s="99"/>
      <c r="D24" s="100"/>
      <c r="E24" s="102" t="str">
        <f>IFERROR(E23/D23-1,"na")</f>
        <v>na</v>
      </c>
      <c r="F24" s="102" t="str">
        <f t="shared" ref="F24" si="20">IFERROR(F23/E23-1,"na")</f>
        <v>na</v>
      </c>
      <c r="G24" s="101">
        <f t="shared" ref="G24" si="21">IFERROR(G23/F23-1,"na")</f>
        <v>6.197183098591541E-2</v>
      </c>
      <c r="H24" s="101">
        <f t="shared" ref="H24" si="22">IFERROR(H23/G23-1,"na")</f>
        <v>0.2679045092838197</v>
      </c>
      <c r="I24" s="99"/>
      <c r="J24" s="99"/>
      <c r="K24" s="99"/>
      <c r="L24" s="99"/>
      <c r="M24" s="99"/>
    </row>
    <row r="25" spans="1:13" x14ac:dyDescent="0.3">
      <c r="A25" s="95" t="s">
        <v>115</v>
      </c>
      <c r="B25" s="94"/>
      <c r="C25" s="94"/>
      <c r="D25" s="108">
        <v>1370</v>
      </c>
      <c r="E25" s="108">
        <v>1731</v>
      </c>
      <c r="F25" s="108">
        <v>1887</v>
      </c>
      <c r="G25" s="108">
        <v>1923</v>
      </c>
      <c r="H25" s="108">
        <v>2096</v>
      </c>
      <c r="I25" s="111">
        <f>H25*(1+I26)</f>
        <v>2179.84</v>
      </c>
      <c r="J25" s="111">
        <f t="shared" ref="J25" si="23">I25*(1+J26)</f>
        <v>2267.0336000000002</v>
      </c>
      <c r="K25" s="111">
        <f t="shared" ref="K25" si="24">J25*(1+K26)</f>
        <v>2357.7149440000003</v>
      </c>
      <c r="L25" s="111">
        <f t="shared" ref="L25" si="25">K25*(1+L26)</f>
        <v>2452.0235417600002</v>
      </c>
      <c r="M25" s="111">
        <f t="shared" ref="M25" si="26">L25*(1+M26)</f>
        <v>2550.1044834304003</v>
      </c>
    </row>
    <row r="26" spans="1:13" s="97" customFormat="1" x14ac:dyDescent="0.3">
      <c r="A26" s="98" t="s">
        <v>118</v>
      </c>
      <c r="B26" s="99"/>
      <c r="C26" s="99"/>
      <c r="D26" s="100"/>
      <c r="E26" s="101">
        <f>IFERROR(E25/D25-1,"na")</f>
        <v>0.26350364963503647</v>
      </c>
      <c r="F26" s="101">
        <f t="shared" ref="F26" si="27">IFERROR(F25/E25-1,"na")</f>
        <v>9.0121317157712211E-2</v>
      </c>
      <c r="G26" s="101">
        <f t="shared" ref="G26" si="28">IFERROR(G25/F25-1,"na")</f>
        <v>1.9077901430842648E-2</v>
      </c>
      <c r="H26" s="101">
        <f t="shared" ref="H26" si="29">IFERROR(H25/G25-1,"na")</f>
        <v>8.9963598543941758E-2</v>
      </c>
      <c r="I26" s="110">
        <v>0.04</v>
      </c>
      <c r="J26" s="110">
        <v>0.04</v>
      </c>
      <c r="K26" s="110">
        <v>0.04</v>
      </c>
      <c r="L26" s="110">
        <v>0.04</v>
      </c>
      <c r="M26" s="110">
        <v>0.04</v>
      </c>
    </row>
    <row r="27" spans="1:13" ht="14.5" thickBot="1" x14ac:dyDescent="0.35">
      <c r="A27" s="103" t="s">
        <v>139</v>
      </c>
      <c r="B27" s="104"/>
      <c r="C27" s="104"/>
      <c r="D27" s="105">
        <f>D15+D17+D19+D25</f>
        <v>41380</v>
      </c>
      <c r="E27" s="105">
        <f t="shared" ref="E27:M27" si="30">E15+E17+E19+E25</f>
        <v>44838</v>
      </c>
      <c r="F27" s="105">
        <f t="shared" si="30"/>
        <v>47330</v>
      </c>
      <c r="G27" s="105">
        <f t="shared" si="30"/>
        <v>48545</v>
      </c>
      <c r="H27" s="105">
        <f t="shared" si="30"/>
        <v>49232</v>
      </c>
      <c r="I27" s="105">
        <f t="shared" si="30"/>
        <v>50602.92</v>
      </c>
      <c r="J27" s="105">
        <f t="shared" si="30"/>
        <v>52028.676800000001</v>
      </c>
      <c r="K27" s="105">
        <f t="shared" si="30"/>
        <v>53661.053872000004</v>
      </c>
      <c r="L27" s="105">
        <f t="shared" si="30"/>
        <v>55354.238326880004</v>
      </c>
      <c r="M27" s="105">
        <f t="shared" si="30"/>
        <v>57110.617582955201</v>
      </c>
    </row>
    <row r="28" spans="1:13" s="97" customFormat="1" ht="14.5" thickTop="1" x14ac:dyDescent="0.3">
      <c r="A28" s="98" t="s">
        <v>154</v>
      </c>
      <c r="B28" s="99"/>
      <c r="C28" s="99"/>
      <c r="D28" s="100"/>
      <c r="E28" s="101">
        <f>IFERROR(E27/D27-1,"na")</f>
        <v>8.3566940550990898E-2</v>
      </c>
      <c r="F28" s="101">
        <f t="shared" ref="F28" si="31">IFERROR(F27/E27-1,"na")</f>
        <v>5.5577858066818253E-2</v>
      </c>
      <c r="G28" s="101">
        <f t="shared" ref="G28" si="32">IFERROR(G27/F27-1,"na")</f>
        <v>2.5670821888865492E-2</v>
      </c>
      <c r="H28" s="101">
        <f t="shared" ref="H28" si="33">IFERROR(H27/G27-1,"na")</f>
        <v>1.4151817900916575E-2</v>
      </c>
      <c r="I28" s="101">
        <f t="shared" ref="I28" si="34">IFERROR(I27/H27-1,"na")</f>
        <v>2.7846116347091332E-2</v>
      </c>
      <c r="J28" s="101">
        <f t="shared" ref="J28" si="35">IFERROR(J27/I27-1,"na")</f>
        <v>2.8175385926345831E-2</v>
      </c>
      <c r="K28" s="101">
        <f t="shared" ref="K28" si="36">IFERROR(K27/J27-1,"na")</f>
        <v>3.1374564420981077E-2</v>
      </c>
      <c r="L28" s="101">
        <f t="shared" ref="L28" si="37">IFERROR(L27/K27-1,"na")</f>
        <v>3.1553320941456464E-2</v>
      </c>
      <c r="M28" s="101">
        <f t="shared" ref="M28" si="38">IFERROR(M27/L27-1,"na")</f>
        <v>3.1729806229169988E-2</v>
      </c>
    </row>
    <row r="29" spans="1:13" ht="14.5" thickBot="1" x14ac:dyDescent="0.35">
      <c r="A29" s="103" t="s">
        <v>140</v>
      </c>
      <c r="B29" s="104"/>
      <c r="C29" s="104"/>
      <c r="D29" s="105">
        <f>D15+D19+D25</f>
        <v>21035</v>
      </c>
      <c r="E29" s="105">
        <f t="shared" ref="E29:M29" si="39">E15+E19+E25</f>
        <v>23949</v>
      </c>
      <c r="F29" s="105">
        <f t="shared" si="39"/>
        <v>26599</v>
      </c>
      <c r="G29" s="105">
        <f t="shared" si="39"/>
        <v>25679</v>
      </c>
      <c r="H29" s="105">
        <f t="shared" si="39"/>
        <v>24958</v>
      </c>
      <c r="I29" s="105">
        <f t="shared" si="39"/>
        <v>25357.960000000003</v>
      </c>
      <c r="J29" s="105">
        <f t="shared" si="39"/>
        <v>25773.918399999999</v>
      </c>
      <c r="K29" s="105">
        <f t="shared" si="39"/>
        <v>26356.105136000002</v>
      </c>
      <c r="L29" s="105">
        <f t="shared" si="39"/>
        <v>26957.091641440005</v>
      </c>
      <c r="M29" s="105">
        <f t="shared" si="39"/>
        <v>27577.585030097605</v>
      </c>
    </row>
    <row r="30" spans="1:13" ht="14.5" thickTop="1" x14ac:dyDescent="0.3">
      <c r="A30" s="98" t="s">
        <v>155</v>
      </c>
      <c r="B30" s="99"/>
      <c r="C30" s="99"/>
      <c r="D30" s="100"/>
      <c r="E30" s="101">
        <f>E29/D29-1</f>
        <v>0.13853101972902304</v>
      </c>
      <c r="F30" s="101">
        <f t="shared" ref="F30:M30" si="40">F29/E29-1</f>
        <v>0.1106518017453757</v>
      </c>
      <c r="G30" s="101">
        <f t="shared" si="40"/>
        <v>-3.4587766457385594E-2</v>
      </c>
      <c r="H30" s="101">
        <f t="shared" si="40"/>
        <v>-2.8077417344912203E-2</v>
      </c>
      <c r="I30" s="101">
        <f t="shared" si="40"/>
        <v>1.6025322541870501E-2</v>
      </c>
      <c r="J30" s="101">
        <f t="shared" si="40"/>
        <v>1.640346463201281E-2</v>
      </c>
      <c r="K30" s="101">
        <f t="shared" si="40"/>
        <v>2.2588212120668638E-2</v>
      </c>
      <c r="L30" s="101">
        <f t="shared" si="40"/>
        <v>2.2802553804473602E-2</v>
      </c>
      <c r="M30" s="101">
        <f t="shared" si="40"/>
        <v>2.3017816495594756E-2</v>
      </c>
    </row>
    <row r="32" spans="1:13" x14ac:dyDescent="0.3">
      <c r="A32" s="95" t="s">
        <v>117</v>
      </c>
      <c r="B32" s="94"/>
      <c r="C32" s="94"/>
      <c r="D32" s="107">
        <v>41380</v>
      </c>
      <c r="E32" s="107">
        <v>44838</v>
      </c>
      <c r="F32" s="107">
        <v>47330</v>
      </c>
      <c r="G32" s="107">
        <v>48545</v>
      </c>
      <c r="H32" s="107">
        <v>49232</v>
      </c>
      <c r="I32" s="93">
        <f>I27</f>
        <v>50602.92</v>
      </c>
      <c r="J32" s="93">
        <f t="shared" ref="J32:M32" si="41">J27</f>
        <v>52028.676800000001</v>
      </c>
      <c r="K32" s="93">
        <f t="shared" si="41"/>
        <v>53661.053872000004</v>
      </c>
      <c r="L32" s="93">
        <f t="shared" si="41"/>
        <v>55354.238326880004</v>
      </c>
      <c r="M32" s="93">
        <f t="shared" si="41"/>
        <v>57110.617582955201</v>
      </c>
    </row>
    <row r="33" spans="1:13" x14ac:dyDescent="0.3">
      <c r="A33" s="92"/>
    </row>
    <row r="34" spans="1:13" x14ac:dyDescent="0.3">
      <c r="A34" s="92"/>
    </row>
    <row r="35" spans="1:13" ht="18" x14ac:dyDescent="0.3">
      <c r="A35" s="238" t="s">
        <v>122</v>
      </c>
      <c r="B35" s="239"/>
      <c r="C35" s="239"/>
      <c r="D35" s="240" t="s">
        <v>237</v>
      </c>
    </row>
    <row r="37" spans="1:13" x14ac:dyDescent="0.3">
      <c r="A37" s="114">
        <v>1</v>
      </c>
      <c r="B37" s="118" t="s">
        <v>129</v>
      </c>
    </row>
    <row r="38" spans="1:13" x14ac:dyDescent="0.3">
      <c r="A38" s="114">
        <v>2</v>
      </c>
      <c r="B38" s="118" t="s">
        <v>130</v>
      </c>
      <c r="E38" s="113"/>
      <c r="F38" s="106"/>
    </row>
    <row r="39" spans="1:13" x14ac:dyDescent="0.3">
      <c r="A39" s="114">
        <v>3</v>
      </c>
      <c r="B39" s="118" t="s">
        <v>131</v>
      </c>
      <c r="E39" s="113"/>
      <c r="F39" s="106"/>
    </row>
    <row r="40" spans="1:13" x14ac:dyDescent="0.3">
      <c r="A40" s="114">
        <v>4</v>
      </c>
      <c r="B40" s="117" t="s">
        <v>128</v>
      </c>
      <c r="E40" s="113"/>
      <c r="F40" s="106"/>
    </row>
    <row r="41" spans="1:13" x14ac:dyDescent="0.3">
      <c r="E41" s="113"/>
      <c r="F41" s="106"/>
    </row>
    <row r="42" spans="1:13" x14ac:dyDescent="0.3">
      <c r="A42" s="242" t="s">
        <v>269</v>
      </c>
      <c r="E42" s="243">
        <v>61540</v>
      </c>
      <c r="F42" s="106"/>
    </row>
    <row r="43" spans="1:13" x14ac:dyDescent="0.3">
      <c r="A43" s="241" t="s">
        <v>238</v>
      </c>
      <c r="E43" s="244">
        <v>0.84704349493481379</v>
      </c>
      <c r="F43" s="106"/>
    </row>
    <row r="44" spans="1:13" x14ac:dyDescent="0.3">
      <c r="E44" s="113"/>
      <c r="F44" s="106"/>
    </row>
    <row r="45" spans="1:13" x14ac:dyDescent="0.3">
      <c r="A45" s="115" t="s">
        <v>127</v>
      </c>
      <c r="B45" s="94"/>
      <c r="C45" s="94"/>
    </row>
    <row r="46" spans="1:13" x14ac:dyDescent="0.3">
      <c r="A46" s="116"/>
      <c r="B46" s="116"/>
      <c r="C46" s="116"/>
      <c r="D46" s="116"/>
      <c r="E46" s="116"/>
    </row>
    <row r="47" spans="1:13" x14ac:dyDescent="0.3">
      <c r="A47" s="92" t="s">
        <v>112</v>
      </c>
      <c r="D47" s="107">
        <v>14943</v>
      </c>
      <c r="E47" s="107">
        <v>16412</v>
      </c>
      <c r="F47" s="107">
        <v>17991</v>
      </c>
      <c r="G47" s="107">
        <v>16473</v>
      </c>
      <c r="H47" s="107">
        <v>14959</v>
      </c>
      <c r="I47" s="111">
        <f>H47*(1+I48)</f>
        <v>14510.23</v>
      </c>
      <c r="J47" s="111">
        <f t="shared" ref="J47" si="42">I47*(1+J48)</f>
        <v>14074.9231</v>
      </c>
      <c r="K47" s="111">
        <f t="shared" ref="K47" si="43">J47*(1+K48)</f>
        <v>13793.424638</v>
      </c>
      <c r="L47" s="111">
        <f t="shared" ref="L47" si="44">K47*(1+L48)</f>
        <v>13793.424638</v>
      </c>
      <c r="M47" s="111">
        <f t="shared" ref="M47" si="45">L47*(1+M48)</f>
        <v>13793.424638</v>
      </c>
    </row>
    <row r="48" spans="1:13" s="97" customFormat="1" x14ac:dyDescent="0.3">
      <c r="A48" s="98" t="s">
        <v>118</v>
      </c>
      <c r="B48" s="99"/>
      <c r="C48" s="99"/>
      <c r="D48" s="100"/>
      <c r="E48" s="101">
        <f>IFERROR(E47/D47-1,"na")</f>
        <v>9.8306899551629634E-2</v>
      </c>
      <c r="F48" s="101">
        <f t="shared" ref="F48" si="46">IFERROR(F47/E47-1,"na")</f>
        <v>9.6210090177918595E-2</v>
      </c>
      <c r="G48" s="101">
        <f t="shared" ref="G48" si="47">IFERROR(G47/F47-1,"na")</f>
        <v>-8.4375521093880246E-2</v>
      </c>
      <c r="H48" s="101">
        <f t="shared" ref="H48" si="48">IFERROR(H47/G47-1,"na")</f>
        <v>-9.190797061858802E-2</v>
      </c>
      <c r="I48" s="110">
        <v>-0.03</v>
      </c>
      <c r="J48" s="109">
        <v>-0.03</v>
      </c>
      <c r="K48" s="109">
        <v>-0.02</v>
      </c>
      <c r="L48" s="109">
        <v>0</v>
      </c>
      <c r="M48" s="109">
        <v>0</v>
      </c>
    </row>
    <row r="49" spans="1:13" x14ac:dyDescent="0.3">
      <c r="A49" s="92" t="s">
        <v>113</v>
      </c>
      <c r="D49" s="107">
        <v>20345</v>
      </c>
      <c r="E49" s="107">
        <v>20889</v>
      </c>
      <c r="F49" s="107">
        <v>20731</v>
      </c>
      <c r="G49" s="107">
        <v>22866</v>
      </c>
      <c r="H49" s="107">
        <v>24274</v>
      </c>
      <c r="I49" s="111">
        <f>H49*(1+I50)</f>
        <v>24759.48</v>
      </c>
      <c r="J49" s="111">
        <f t="shared" ref="J49" si="49">I49*(1+J50)</f>
        <v>25254.669600000001</v>
      </c>
      <c r="K49" s="111">
        <f t="shared" ref="K49" si="50">J49*(1+K50)</f>
        <v>25759.762992</v>
      </c>
      <c r="L49" s="111">
        <f t="shared" ref="L49" si="51">K49*(1+L50)</f>
        <v>26274.958251840002</v>
      </c>
      <c r="M49" s="111">
        <f t="shared" ref="M49" si="52">L49*(1+M50)</f>
        <v>26800.457416876801</v>
      </c>
    </row>
    <row r="50" spans="1:13" s="97" customFormat="1" x14ac:dyDescent="0.3">
      <c r="A50" s="98" t="s">
        <v>118</v>
      </c>
      <c r="B50" s="99"/>
      <c r="C50" s="99"/>
      <c r="D50" s="100"/>
      <c r="E50" s="101">
        <f>IFERROR(E49/D49-1,"na")</f>
        <v>2.6738756451216483E-2</v>
      </c>
      <c r="F50" s="101">
        <f t="shared" ref="F50" si="53">IFERROR(F49/E49-1,"na")</f>
        <v>-7.5637895543109179E-3</v>
      </c>
      <c r="G50" s="101">
        <f t="shared" ref="G50" si="54">IFERROR(G49/F49-1,"na")</f>
        <v>0.10298586657662434</v>
      </c>
      <c r="H50" s="101">
        <f t="shared" ref="H50" si="55">IFERROR(H49/G49-1,"na")</f>
        <v>6.1576139246042105E-2</v>
      </c>
      <c r="I50" s="110">
        <v>0.02</v>
      </c>
      <c r="J50" s="110">
        <v>0.02</v>
      </c>
      <c r="K50" s="110">
        <v>0.02</v>
      </c>
      <c r="L50" s="110">
        <v>0.02</v>
      </c>
      <c r="M50" s="110">
        <v>0.02</v>
      </c>
    </row>
    <row r="51" spans="1:13" x14ac:dyDescent="0.3">
      <c r="A51" s="92" t="s">
        <v>114</v>
      </c>
      <c r="D51" s="107">
        <v>4722</v>
      </c>
      <c r="E51" s="107">
        <v>5806</v>
      </c>
      <c r="F51" s="107">
        <v>6721</v>
      </c>
      <c r="G51" s="107">
        <v>7283</v>
      </c>
      <c r="H51" s="107">
        <v>7903</v>
      </c>
      <c r="I51" s="111">
        <f>H51*(1+I52)</f>
        <v>8140.09</v>
      </c>
      <c r="J51" s="111">
        <f t="shared" ref="J51" si="56">I51*(1+J52)</f>
        <v>8384.2927</v>
      </c>
      <c r="K51" s="111">
        <f t="shared" ref="K51" si="57">J51*(1+K52)</f>
        <v>8635.8214810000009</v>
      </c>
      <c r="L51" s="111">
        <f t="shared" ref="L51" si="58">K51*(1+L52)</f>
        <v>8894.8961254300011</v>
      </c>
      <c r="M51" s="111">
        <f t="shared" ref="M51" si="59">L51*(1+M52)</f>
        <v>9161.7430091929018</v>
      </c>
    </row>
    <row r="52" spans="1:13" s="97" customFormat="1" x14ac:dyDescent="0.3">
      <c r="A52" s="98" t="s">
        <v>118</v>
      </c>
      <c r="B52" s="99"/>
      <c r="C52" s="99"/>
      <c r="D52" s="100"/>
      <c r="E52" s="101">
        <f>IFERROR(E51/D51-1,"na")</f>
        <v>0.22956374417619663</v>
      </c>
      <c r="F52" s="101">
        <f t="shared" ref="F52" si="60">IFERROR(F51/E51-1,"na")</f>
        <v>0.15759559076817076</v>
      </c>
      <c r="G52" s="101">
        <f t="shared" ref="G52" si="61">IFERROR(G51/F51-1,"na")</f>
        <v>8.3618509150424014E-2</v>
      </c>
      <c r="H52" s="101">
        <f t="shared" ref="H52" si="62">IFERROR(H51/G51-1,"na")</f>
        <v>8.512975422216118E-2</v>
      </c>
      <c r="I52" s="110">
        <v>0.03</v>
      </c>
      <c r="J52" s="110">
        <v>0.03</v>
      </c>
      <c r="K52" s="110">
        <v>0.03</v>
      </c>
      <c r="L52" s="110">
        <v>0.03</v>
      </c>
      <c r="M52" s="110">
        <v>0.03</v>
      </c>
    </row>
    <row r="53" spans="1:13" x14ac:dyDescent="0.3">
      <c r="A53" s="96" t="s">
        <v>120</v>
      </c>
      <c r="D53" s="107">
        <v>4722</v>
      </c>
      <c r="E53" s="107">
        <v>5806</v>
      </c>
      <c r="F53" s="107">
        <v>6011</v>
      </c>
      <c r="G53" s="107">
        <v>6529</v>
      </c>
      <c r="H53" s="107">
        <v>6947</v>
      </c>
      <c r="I53" s="112"/>
      <c r="J53" s="112"/>
      <c r="K53" s="112"/>
      <c r="L53" s="112"/>
      <c r="M53" s="112"/>
    </row>
    <row r="54" spans="1:13" s="97" customFormat="1" x14ac:dyDescent="0.3">
      <c r="A54" s="98" t="s">
        <v>118</v>
      </c>
      <c r="B54" s="99"/>
      <c r="C54" s="99"/>
      <c r="D54" s="100"/>
      <c r="E54" s="101">
        <f>IFERROR(E53/D53-1,"na")</f>
        <v>0.22956374417619663</v>
      </c>
      <c r="F54" s="101">
        <f t="shared" ref="F54" si="63">IFERROR(F53/E53-1,"na")</f>
        <v>3.5308301756803218E-2</v>
      </c>
      <c r="G54" s="101">
        <f t="shared" ref="G54" si="64">IFERROR(G53/F53-1,"na")</f>
        <v>8.617534520046588E-2</v>
      </c>
      <c r="H54" s="101">
        <f t="shared" ref="H54" si="65">IFERROR(H53/G53-1,"na")</f>
        <v>6.4022055444937997E-2</v>
      </c>
      <c r="I54" s="99"/>
      <c r="J54" s="99"/>
      <c r="K54" s="99"/>
      <c r="L54" s="99"/>
      <c r="M54" s="99"/>
    </row>
    <row r="55" spans="1:13" x14ac:dyDescent="0.3">
      <c r="A55" s="96" t="s">
        <v>119</v>
      </c>
      <c r="D55" s="107">
        <f>D51-D53</f>
        <v>0</v>
      </c>
      <c r="E55" s="107">
        <f t="shared" ref="E55:H55" si="66">E51-E53</f>
        <v>0</v>
      </c>
      <c r="F55" s="107">
        <f t="shared" si="66"/>
        <v>710</v>
      </c>
      <c r="G55" s="107">
        <f t="shared" si="66"/>
        <v>754</v>
      </c>
      <c r="H55" s="107">
        <f t="shared" si="66"/>
        <v>956</v>
      </c>
      <c r="I55" s="112"/>
      <c r="J55" s="112"/>
      <c r="K55" s="112"/>
      <c r="L55" s="112"/>
      <c r="M55" s="112"/>
    </row>
    <row r="56" spans="1:13" s="97" customFormat="1" x14ac:dyDescent="0.3">
      <c r="A56" s="98" t="s">
        <v>118</v>
      </c>
      <c r="B56" s="99"/>
      <c r="C56" s="99"/>
      <c r="D56" s="100"/>
      <c r="E56" s="102" t="str">
        <f>IFERROR(E55/D55-1,"na")</f>
        <v>na</v>
      </c>
      <c r="F56" s="102" t="str">
        <f t="shared" ref="F56" si="67">IFERROR(F55/E55-1,"na")</f>
        <v>na</v>
      </c>
      <c r="G56" s="101">
        <f t="shared" ref="G56" si="68">IFERROR(G55/F55-1,"na")</f>
        <v>6.197183098591541E-2</v>
      </c>
      <c r="H56" s="101">
        <f t="shared" ref="H56" si="69">IFERROR(H55/G55-1,"na")</f>
        <v>0.2679045092838197</v>
      </c>
      <c r="I56" s="99"/>
      <c r="J56" s="99"/>
      <c r="K56" s="99"/>
      <c r="L56" s="99"/>
      <c r="M56" s="99"/>
    </row>
    <row r="57" spans="1:13" x14ac:dyDescent="0.3">
      <c r="A57" s="95" t="s">
        <v>115</v>
      </c>
      <c r="B57" s="94"/>
      <c r="C57" s="94"/>
      <c r="D57" s="108">
        <v>1370</v>
      </c>
      <c r="E57" s="108">
        <v>1731</v>
      </c>
      <c r="F57" s="108">
        <v>1887</v>
      </c>
      <c r="G57" s="108">
        <v>1923</v>
      </c>
      <c r="H57" s="108">
        <v>2096</v>
      </c>
      <c r="I57" s="111">
        <f>H57*(1+I58)</f>
        <v>2148.3999999999996</v>
      </c>
      <c r="J57" s="111">
        <f t="shared" ref="J57" si="70">I57*(1+J58)</f>
        <v>2202.1099999999992</v>
      </c>
      <c r="K57" s="111">
        <f t="shared" ref="K57" si="71">J57*(1+K58)</f>
        <v>2257.1627499999991</v>
      </c>
      <c r="L57" s="111">
        <f t="shared" ref="L57" si="72">K57*(1+L58)</f>
        <v>2313.5918187499988</v>
      </c>
      <c r="M57" s="111">
        <f t="shared" ref="M57" si="73">L57*(1+M58)</f>
        <v>2371.4316142187486</v>
      </c>
    </row>
    <row r="58" spans="1:13" s="97" customFormat="1" x14ac:dyDescent="0.3">
      <c r="A58" s="98" t="s">
        <v>118</v>
      </c>
      <c r="B58" s="99"/>
      <c r="C58" s="99"/>
      <c r="D58" s="100"/>
      <c r="E58" s="101">
        <f>IFERROR(E57/D57-1,"na")</f>
        <v>0.26350364963503647</v>
      </c>
      <c r="F58" s="101">
        <f t="shared" ref="F58" si="74">IFERROR(F57/E57-1,"na")</f>
        <v>9.0121317157712211E-2</v>
      </c>
      <c r="G58" s="101">
        <f t="shared" ref="G58" si="75">IFERROR(G57/F57-1,"na")</f>
        <v>1.9077901430842648E-2</v>
      </c>
      <c r="H58" s="101">
        <f t="shared" ref="H58" si="76">IFERROR(H57/G57-1,"na")</f>
        <v>8.9963598543941758E-2</v>
      </c>
      <c r="I58" s="110">
        <v>2.5000000000000001E-2</v>
      </c>
      <c r="J58" s="110">
        <v>2.5000000000000001E-2</v>
      </c>
      <c r="K58" s="110">
        <v>2.5000000000000001E-2</v>
      </c>
      <c r="L58" s="110">
        <v>2.5000000000000001E-2</v>
      </c>
      <c r="M58" s="110">
        <v>2.5000000000000001E-2</v>
      </c>
    </row>
    <row r="59" spans="1:13" ht="14.5" thickBot="1" x14ac:dyDescent="0.35">
      <c r="A59" s="103" t="s">
        <v>139</v>
      </c>
      <c r="B59" s="104"/>
      <c r="C59" s="104"/>
      <c r="D59" s="105">
        <f>D47+D49+D51+D57</f>
        <v>41380</v>
      </c>
      <c r="E59" s="105">
        <f t="shared" ref="E59:M59" si="77">E47+E49+E51+E57</f>
        <v>44838</v>
      </c>
      <c r="F59" s="105">
        <f t="shared" si="77"/>
        <v>47330</v>
      </c>
      <c r="G59" s="105">
        <f t="shared" si="77"/>
        <v>48545</v>
      </c>
      <c r="H59" s="105">
        <f t="shared" si="77"/>
        <v>49232</v>
      </c>
      <c r="I59" s="105">
        <f t="shared" si="77"/>
        <v>49558.200000000004</v>
      </c>
      <c r="J59" s="105">
        <f t="shared" si="77"/>
        <v>49915.9954</v>
      </c>
      <c r="K59" s="105">
        <f t="shared" si="77"/>
        <v>50446.171860999995</v>
      </c>
      <c r="L59" s="105">
        <f t="shared" si="77"/>
        <v>51276.870834020003</v>
      </c>
      <c r="M59" s="105">
        <f t="shared" si="77"/>
        <v>52127.056678288442</v>
      </c>
    </row>
    <row r="60" spans="1:13" s="97" customFormat="1" ht="14.5" thickTop="1" x14ac:dyDescent="0.3">
      <c r="A60" s="98" t="s">
        <v>154</v>
      </c>
      <c r="B60" s="99"/>
      <c r="C60" s="99"/>
      <c r="D60" s="100"/>
      <c r="E60" s="101">
        <f>IFERROR(E59/D59-1,"na")</f>
        <v>8.3566940550990898E-2</v>
      </c>
      <c r="F60" s="101">
        <f t="shared" ref="F60" si="78">IFERROR(F59/E59-1,"na")</f>
        <v>5.5577858066818253E-2</v>
      </c>
      <c r="G60" s="101">
        <f t="shared" ref="G60" si="79">IFERROR(G59/F59-1,"na")</f>
        <v>2.5670821888865492E-2</v>
      </c>
      <c r="H60" s="101">
        <f t="shared" ref="H60" si="80">IFERROR(H59/G59-1,"na")</f>
        <v>1.4151817900916575E-2</v>
      </c>
      <c r="I60" s="101">
        <f t="shared" ref="I60" si="81">IFERROR(I59/H59-1,"na")</f>
        <v>6.6257718557036771E-3</v>
      </c>
      <c r="J60" s="101">
        <f t="shared" ref="J60" si="82">IFERROR(J59/I59-1,"na")</f>
        <v>7.2197012805146343E-3</v>
      </c>
      <c r="K60" s="101">
        <f t="shared" ref="K60" si="83">IFERROR(K59/J59-1,"na")</f>
        <v>1.0621374105663772E-2</v>
      </c>
      <c r="L60" s="101">
        <f t="shared" ref="L60" si="84">IFERROR(L59/K59-1,"na")</f>
        <v>1.6467036890508213E-2</v>
      </c>
      <c r="M60" s="101">
        <f t="shared" ref="M60" si="85">IFERROR(M59/L59-1,"na")</f>
        <v>1.6580298884080413E-2</v>
      </c>
    </row>
    <row r="61" spans="1:13" ht="14.5" thickBot="1" x14ac:dyDescent="0.35">
      <c r="A61" s="103" t="s">
        <v>140</v>
      </c>
      <c r="B61" s="104"/>
      <c r="C61" s="104"/>
      <c r="D61" s="105">
        <f>D47+D51+D57</f>
        <v>21035</v>
      </c>
      <c r="E61" s="105">
        <f t="shared" ref="E61:M61" si="86">E47+E51+E57</f>
        <v>23949</v>
      </c>
      <c r="F61" s="105">
        <f t="shared" si="86"/>
        <v>26599</v>
      </c>
      <c r="G61" s="105">
        <f t="shared" si="86"/>
        <v>25679</v>
      </c>
      <c r="H61" s="105">
        <f t="shared" si="86"/>
        <v>24958</v>
      </c>
      <c r="I61" s="105">
        <f t="shared" si="86"/>
        <v>24798.720000000001</v>
      </c>
      <c r="J61" s="105">
        <f t="shared" si="86"/>
        <v>24661.325799999999</v>
      </c>
      <c r="K61" s="105">
        <f t="shared" si="86"/>
        <v>24686.408869000003</v>
      </c>
      <c r="L61" s="105">
        <f t="shared" si="86"/>
        <v>25001.912582180001</v>
      </c>
      <c r="M61" s="105">
        <f t="shared" si="86"/>
        <v>25326.599261411651</v>
      </c>
    </row>
    <row r="62" spans="1:13" ht="14.5" thickTop="1" x14ac:dyDescent="0.3">
      <c r="A62" s="98" t="s">
        <v>155</v>
      </c>
      <c r="B62" s="99"/>
      <c r="C62" s="99"/>
      <c r="D62" s="100"/>
      <c r="E62" s="101">
        <f>E61/D61-1</f>
        <v>0.13853101972902304</v>
      </c>
      <c r="F62" s="101">
        <f t="shared" ref="F62" si="87">F61/E61-1</f>
        <v>0.1106518017453757</v>
      </c>
      <c r="G62" s="101">
        <f t="shared" ref="G62" si="88">G61/F61-1</f>
        <v>-3.4587766457385594E-2</v>
      </c>
      <c r="H62" s="101">
        <f t="shared" ref="H62" si="89">H61/G61-1</f>
        <v>-2.8077417344912203E-2</v>
      </c>
      <c r="I62" s="101">
        <f t="shared" ref="I62" si="90">I61/H61-1</f>
        <v>-6.3819216283355074E-3</v>
      </c>
      <c r="J62" s="101">
        <f t="shared" ref="J62" si="91">J61/I61-1</f>
        <v>-5.5403746644988594E-3</v>
      </c>
      <c r="K62" s="101">
        <f t="shared" ref="K62" si="92">K61/J61-1</f>
        <v>1.017101400120346E-3</v>
      </c>
      <c r="L62" s="101">
        <f t="shared" ref="L62" si="93">L61/K61-1</f>
        <v>1.2780462109909907E-2</v>
      </c>
      <c r="M62" s="101">
        <f t="shared" ref="M62" si="94">M61/L61-1</f>
        <v>1.2986473661341869E-2</v>
      </c>
    </row>
    <row r="64" spans="1:13" x14ac:dyDescent="0.3">
      <c r="A64" s="95" t="s">
        <v>117</v>
      </c>
      <c r="B64" s="94"/>
      <c r="C64" s="94"/>
      <c r="D64" s="107">
        <v>41380</v>
      </c>
      <c r="E64" s="107">
        <v>44838</v>
      </c>
      <c r="F64" s="107">
        <v>47330</v>
      </c>
      <c r="G64" s="107">
        <v>48545</v>
      </c>
      <c r="H64" s="107">
        <v>49232</v>
      </c>
      <c r="I64" s="93">
        <f>I59</f>
        <v>49558.200000000004</v>
      </c>
      <c r="J64" s="93">
        <f t="shared" ref="J64:M64" si="95">J59</f>
        <v>49915.9954</v>
      </c>
      <c r="K64" s="93">
        <f t="shared" si="95"/>
        <v>50446.171860999995</v>
      </c>
      <c r="L64" s="93">
        <f t="shared" si="95"/>
        <v>51276.870834020003</v>
      </c>
      <c r="M64" s="93">
        <f t="shared" si="95"/>
        <v>52127.056678288442</v>
      </c>
    </row>
    <row r="67" spans="1:13" ht="18" x14ac:dyDescent="0.3">
      <c r="A67" s="238" t="s">
        <v>123</v>
      </c>
      <c r="B67" s="239"/>
      <c r="C67" s="239"/>
      <c r="D67" s="240" t="s">
        <v>237</v>
      </c>
    </row>
    <row r="69" spans="1:13" x14ac:dyDescent="0.3">
      <c r="A69" s="114">
        <v>1</v>
      </c>
      <c r="B69" s="118" t="s">
        <v>132</v>
      </c>
    </row>
    <row r="70" spans="1:13" x14ac:dyDescent="0.3">
      <c r="A70" s="114">
        <v>2</v>
      </c>
      <c r="B70" s="118" t="s">
        <v>133</v>
      </c>
      <c r="E70" s="113"/>
      <c r="F70" s="106"/>
    </row>
    <row r="71" spans="1:13" x14ac:dyDescent="0.3">
      <c r="A71" s="114">
        <v>3</v>
      </c>
      <c r="B71" s="118" t="s">
        <v>134</v>
      </c>
      <c r="E71" s="113"/>
      <c r="F71" s="106"/>
    </row>
    <row r="72" spans="1:13" x14ac:dyDescent="0.3">
      <c r="A72" s="114">
        <v>4</v>
      </c>
      <c r="B72" s="117" t="s">
        <v>135</v>
      </c>
      <c r="E72" s="113"/>
      <c r="F72" s="106"/>
    </row>
    <row r="73" spans="1:13" x14ac:dyDescent="0.3">
      <c r="E73" s="113"/>
      <c r="F73" s="106"/>
    </row>
    <row r="74" spans="1:13" x14ac:dyDescent="0.3">
      <c r="A74" s="242" t="s">
        <v>269</v>
      </c>
      <c r="E74" s="243">
        <v>61540</v>
      </c>
      <c r="F74" s="106"/>
    </row>
    <row r="75" spans="1:13" x14ac:dyDescent="0.3">
      <c r="A75" s="241" t="s">
        <v>238</v>
      </c>
      <c r="E75" s="244">
        <v>0.99611480763933724</v>
      </c>
      <c r="F75" s="106"/>
    </row>
    <row r="76" spans="1:13" x14ac:dyDescent="0.3">
      <c r="E76" s="113"/>
      <c r="F76" s="106"/>
    </row>
    <row r="77" spans="1:13" x14ac:dyDescent="0.3">
      <c r="A77" s="115" t="s">
        <v>127</v>
      </c>
      <c r="B77" s="94"/>
      <c r="C77" s="94"/>
    </row>
    <row r="78" spans="1:13" x14ac:dyDescent="0.3">
      <c r="A78" s="116"/>
      <c r="B78" s="116"/>
      <c r="C78" s="116"/>
      <c r="D78" s="116"/>
      <c r="E78" s="116"/>
    </row>
    <row r="79" spans="1:13" x14ac:dyDescent="0.3">
      <c r="A79" s="92" t="s">
        <v>112</v>
      </c>
      <c r="D79" s="107">
        <v>14943</v>
      </c>
      <c r="E79" s="107">
        <v>16412</v>
      </c>
      <c r="F79" s="107">
        <v>17991</v>
      </c>
      <c r="G79" s="107">
        <v>16473</v>
      </c>
      <c r="H79" s="107">
        <v>14959</v>
      </c>
      <c r="I79" s="111">
        <f>H79*(1+I80)</f>
        <v>15108.59</v>
      </c>
      <c r="J79" s="111">
        <f t="shared" ref="J79" si="96">I79*(1+J80)</f>
        <v>15410.7618</v>
      </c>
      <c r="K79" s="111">
        <f t="shared" ref="K79" si="97">J79*(1+K80)</f>
        <v>15873.084654</v>
      </c>
      <c r="L79" s="111">
        <f t="shared" ref="L79" si="98">K79*(1+L80)</f>
        <v>16349.277193620001</v>
      </c>
      <c r="M79" s="111">
        <f t="shared" ref="M79" si="99">L79*(1+M80)</f>
        <v>16839.7555094286</v>
      </c>
    </row>
    <row r="80" spans="1:13" s="97" customFormat="1" x14ac:dyDescent="0.3">
      <c r="A80" s="98" t="s">
        <v>118</v>
      </c>
      <c r="B80" s="99"/>
      <c r="C80" s="99"/>
      <c r="D80" s="100"/>
      <c r="E80" s="101">
        <f>IFERROR(E79/D79-1,"na")</f>
        <v>9.8306899551629634E-2</v>
      </c>
      <c r="F80" s="101">
        <f t="shared" ref="F80" si="100">IFERROR(F79/E79-1,"na")</f>
        <v>9.6210090177918595E-2</v>
      </c>
      <c r="G80" s="101">
        <f t="shared" ref="G80" si="101">IFERROR(G79/F79-1,"na")</f>
        <v>-8.4375521093880246E-2</v>
      </c>
      <c r="H80" s="101">
        <f t="shared" ref="H80" si="102">IFERROR(H79/G79-1,"na")</f>
        <v>-9.190797061858802E-2</v>
      </c>
      <c r="I80" s="110">
        <v>0.01</v>
      </c>
      <c r="J80" s="109">
        <v>0.02</v>
      </c>
      <c r="K80" s="109">
        <v>0.03</v>
      </c>
      <c r="L80" s="109">
        <v>0.03</v>
      </c>
      <c r="M80" s="109">
        <v>0.03</v>
      </c>
    </row>
    <row r="81" spans="1:15" x14ac:dyDescent="0.3">
      <c r="A81" s="92" t="s">
        <v>113</v>
      </c>
      <c r="D81" s="107">
        <v>20345</v>
      </c>
      <c r="E81" s="107">
        <v>20889</v>
      </c>
      <c r="F81" s="107">
        <v>20731</v>
      </c>
      <c r="G81" s="107">
        <v>22866</v>
      </c>
      <c r="H81" s="107">
        <v>24274</v>
      </c>
      <c r="I81" s="111">
        <f>H81*(1+I82)</f>
        <v>25487.7</v>
      </c>
      <c r="J81" s="111">
        <f t="shared" ref="J81" si="103">I81*(1+J82)</f>
        <v>26762.085000000003</v>
      </c>
      <c r="K81" s="111">
        <f t="shared" ref="K81" si="104">J81*(1+K82)</f>
        <v>28100.189250000003</v>
      </c>
      <c r="L81" s="111">
        <f t="shared" ref="L81" si="105">K81*(1+L82)</f>
        <v>29505.198712500005</v>
      </c>
      <c r="M81" s="111">
        <f t="shared" ref="M81" si="106">L81*(1+M82)</f>
        <v>30980.458648125008</v>
      </c>
    </row>
    <row r="82" spans="1:15" s="97" customFormat="1" x14ac:dyDescent="0.3">
      <c r="A82" s="98" t="s">
        <v>118</v>
      </c>
      <c r="B82" s="99"/>
      <c r="C82" s="99"/>
      <c r="D82" s="100"/>
      <c r="E82" s="101">
        <f>IFERROR(E81/D81-1,"na")</f>
        <v>2.6738756451216483E-2</v>
      </c>
      <c r="F82" s="101">
        <f t="shared" ref="F82" si="107">IFERROR(F81/E81-1,"na")</f>
        <v>-7.5637895543109179E-3</v>
      </c>
      <c r="G82" s="101">
        <f t="shared" ref="G82" si="108">IFERROR(G81/F81-1,"na")</f>
        <v>0.10298586657662434</v>
      </c>
      <c r="H82" s="101">
        <f t="shared" ref="H82" si="109">IFERROR(H81/G81-1,"na")</f>
        <v>6.1576139246042105E-2</v>
      </c>
      <c r="I82" s="110">
        <v>0.05</v>
      </c>
      <c r="J82" s="110">
        <v>0.05</v>
      </c>
      <c r="K82" s="110">
        <v>0.05</v>
      </c>
      <c r="L82" s="110">
        <v>0.05</v>
      </c>
      <c r="M82" s="110">
        <v>0.05</v>
      </c>
    </row>
    <row r="83" spans="1:15" x14ac:dyDescent="0.3">
      <c r="A83" s="92" t="s">
        <v>114</v>
      </c>
      <c r="D83" s="107">
        <v>4722</v>
      </c>
      <c r="E83" s="107">
        <v>5806</v>
      </c>
      <c r="F83" s="107">
        <v>6721</v>
      </c>
      <c r="G83" s="107">
        <v>7283</v>
      </c>
      <c r="H83" s="107">
        <v>7903</v>
      </c>
      <c r="I83" s="111">
        <f>H83*(1+I84)</f>
        <v>8456.2100000000009</v>
      </c>
      <c r="J83" s="111">
        <f t="shared" ref="J83" si="110">I83*(1+J84)</f>
        <v>8963.5826000000015</v>
      </c>
      <c r="K83" s="111">
        <f t="shared" ref="K83" si="111">J83*(1+K84)</f>
        <v>9501.3975560000017</v>
      </c>
      <c r="L83" s="111">
        <f t="shared" ref="L83" si="112">K83*(1+L84)</f>
        <v>10071.481409360002</v>
      </c>
      <c r="M83" s="111">
        <f t="shared" ref="M83" si="113">L83*(1+M84)</f>
        <v>10675.770293921601</v>
      </c>
    </row>
    <row r="84" spans="1:15" s="97" customFormat="1" x14ac:dyDescent="0.3">
      <c r="A84" s="98" t="s">
        <v>118</v>
      </c>
      <c r="B84" s="99"/>
      <c r="C84" s="99"/>
      <c r="D84" s="100"/>
      <c r="E84" s="101">
        <f>IFERROR(E83/D83-1,"na")</f>
        <v>0.22956374417619663</v>
      </c>
      <c r="F84" s="101">
        <f t="shared" ref="F84" si="114">IFERROR(F83/E83-1,"na")</f>
        <v>0.15759559076817076</v>
      </c>
      <c r="G84" s="101">
        <f t="shared" ref="G84" si="115">IFERROR(G83/F83-1,"na")</f>
        <v>8.3618509150424014E-2</v>
      </c>
      <c r="H84" s="101">
        <f t="shared" ref="H84" si="116">IFERROR(H83/G83-1,"na")</f>
        <v>8.512975422216118E-2</v>
      </c>
      <c r="I84" s="110">
        <v>7.0000000000000007E-2</v>
      </c>
      <c r="J84" s="110">
        <v>0.06</v>
      </c>
      <c r="K84" s="110">
        <v>0.06</v>
      </c>
      <c r="L84" s="110">
        <v>0.06</v>
      </c>
      <c r="M84" s="110">
        <v>0.06</v>
      </c>
    </row>
    <row r="85" spans="1:15" x14ac:dyDescent="0.3">
      <c r="A85" s="96" t="s">
        <v>120</v>
      </c>
      <c r="D85" s="107">
        <v>4722</v>
      </c>
      <c r="E85" s="107">
        <v>5806</v>
      </c>
      <c r="F85" s="107">
        <v>6011</v>
      </c>
      <c r="G85" s="107">
        <v>6529</v>
      </c>
      <c r="H85" s="107">
        <v>6947</v>
      </c>
      <c r="I85" s="112"/>
      <c r="J85" s="112"/>
      <c r="K85" s="112"/>
      <c r="L85" s="112"/>
      <c r="M85" s="112"/>
    </row>
    <row r="86" spans="1:15" s="97" customFormat="1" x14ac:dyDescent="0.3">
      <c r="A86" s="98" t="s">
        <v>118</v>
      </c>
      <c r="B86" s="99"/>
      <c r="C86" s="99"/>
      <c r="D86" s="100"/>
      <c r="E86" s="101">
        <f>IFERROR(E85/D85-1,"na")</f>
        <v>0.22956374417619663</v>
      </c>
      <c r="F86" s="101">
        <f t="shared" ref="F86" si="117">IFERROR(F85/E85-1,"na")</f>
        <v>3.5308301756803218E-2</v>
      </c>
      <c r="G86" s="101">
        <f t="shared" ref="G86" si="118">IFERROR(G85/F85-1,"na")</f>
        <v>8.617534520046588E-2</v>
      </c>
      <c r="H86" s="101">
        <f t="shared" ref="H86" si="119">IFERROR(H85/G85-1,"na")</f>
        <v>6.4022055444937997E-2</v>
      </c>
      <c r="I86" s="99"/>
      <c r="J86" s="99"/>
      <c r="K86" s="99"/>
      <c r="L86" s="99"/>
      <c r="M86" s="99"/>
    </row>
    <row r="87" spans="1:15" x14ac:dyDescent="0.3">
      <c r="A87" s="96" t="s">
        <v>119</v>
      </c>
      <c r="D87" s="107">
        <f>D83-D85</f>
        <v>0</v>
      </c>
      <c r="E87" s="107">
        <f t="shared" ref="E87:H87" si="120">E83-E85</f>
        <v>0</v>
      </c>
      <c r="F87" s="107">
        <f t="shared" si="120"/>
        <v>710</v>
      </c>
      <c r="G87" s="107">
        <f t="shared" si="120"/>
        <v>754</v>
      </c>
      <c r="H87" s="107">
        <f t="shared" si="120"/>
        <v>956</v>
      </c>
      <c r="I87" s="112"/>
      <c r="J87" s="112"/>
      <c r="K87" s="112"/>
      <c r="L87" s="112"/>
      <c r="M87" s="112"/>
    </row>
    <row r="88" spans="1:15" s="97" customFormat="1" x14ac:dyDescent="0.3">
      <c r="A88" s="98" t="s">
        <v>118</v>
      </c>
      <c r="B88" s="99"/>
      <c r="C88" s="99"/>
      <c r="D88" s="100"/>
      <c r="E88" s="102" t="str">
        <f>IFERROR(E87/D87-1,"na")</f>
        <v>na</v>
      </c>
      <c r="F88" s="102" t="str">
        <f t="shared" ref="F88" si="121">IFERROR(F87/E87-1,"na")</f>
        <v>na</v>
      </c>
      <c r="G88" s="101">
        <f t="shared" ref="G88" si="122">IFERROR(G87/F87-1,"na")</f>
        <v>6.197183098591541E-2</v>
      </c>
      <c r="H88" s="101">
        <f t="shared" ref="H88" si="123">IFERROR(H87/G87-1,"na")</f>
        <v>0.2679045092838197</v>
      </c>
      <c r="I88" s="99"/>
      <c r="J88" s="99"/>
      <c r="K88" s="99"/>
      <c r="L88" s="99"/>
      <c r="M88" s="99"/>
    </row>
    <row r="89" spans="1:15" x14ac:dyDescent="0.3">
      <c r="A89" s="95" t="s">
        <v>115</v>
      </c>
      <c r="B89" s="94"/>
      <c r="C89" s="94"/>
      <c r="D89" s="108">
        <v>1370</v>
      </c>
      <c r="E89" s="108">
        <v>1731</v>
      </c>
      <c r="F89" s="108">
        <v>1887</v>
      </c>
      <c r="G89" s="108">
        <v>1923</v>
      </c>
      <c r="H89" s="108">
        <v>2096</v>
      </c>
      <c r="I89" s="111">
        <f>H89*(1+I90)</f>
        <v>2221.7600000000002</v>
      </c>
      <c r="J89" s="111">
        <f t="shared" ref="J89" si="124">I89*(1+J90)</f>
        <v>2355.0656000000004</v>
      </c>
      <c r="K89" s="111">
        <f t="shared" ref="K89" si="125">J89*(1+K90)</f>
        <v>2496.3695360000006</v>
      </c>
      <c r="L89" s="111">
        <f t="shared" ref="L89" si="126">K89*(1+L90)</f>
        <v>2646.1517081600009</v>
      </c>
      <c r="M89" s="111">
        <f t="shared" ref="M89" si="127">L89*(1+M90)</f>
        <v>2804.9208106496012</v>
      </c>
    </row>
    <row r="90" spans="1:15" s="97" customFormat="1" x14ac:dyDescent="0.3">
      <c r="A90" s="98" t="s">
        <v>118</v>
      </c>
      <c r="B90" s="99"/>
      <c r="C90" s="99"/>
      <c r="D90" s="100"/>
      <c r="E90" s="101">
        <f>IFERROR(E89/D89-1,"na")</f>
        <v>0.26350364963503647</v>
      </c>
      <c r="F90" s="101">
        <f t="shared" ref="F90" si="128">IFERROR(F89/E89-1,"na")</f>
        <v>9.0121317157712211E-2</v>
      </c>
      <c r="G90" s="101">
        <f t="shared" ref="G90" si="129">IFERROR(G89/F89-1,"na")</f>
        <v>1.9077901430842648E-2</v>
      </c>
      <c r="H90" s="101">
        <f t="shared" ref="H90" si="130">IFERROR(H89/G89-1,"na")</f>
        <v>8.9963598543941758E-2</v>
      </c>
      <c r="I90" s="110">
        <v>0.06</v>
      </c>
      <c r="J90" s="110">
        <v>0.06</v>
      </c>
      <c r="K90" s="110">
        <v>0.06</v>
      </c>
      <c r="L90" s="110">
        <v>0.06</v>
      </c>
      <c r="M90" s="110">
        <v>0.06</v>
      </c>
      <c r="O90" s="119"/>
    </row>
    <row r="91" spans="1:15" ht="14.5" thickBot="1" x14ac:dyDescent="0.35">
      <c r="A91" s="103" t="s">
        <v>139</v>
      </c>
      <c r="B91" s="104"/>
      <c r="C91" s="104"/>
      <c r="D91" s="105">
        <f>D79+D81+D83+D89</f>
        <v>41380</v>
      </c>
      <c r="E91" s="105">
        <f t="shared" ref="E91:M91" si="131">E79+E81+E83+E89</f>
        <v>44838</v>
      </c>
      <c r="F91" s="105">
        <f t="shared" si="131"/>
        <v>47330</v>
      </c>
      <c r="G91" s="105">
        <f t="shared" si="131"/>
        <v>48545</v>
      </c>
      <c r="H91" s="105">
        <f t="shared" si="131"/>
        <v>49232</v>
      </c>
      <c r="I91" s="105">
        <f t="shared" si="131"/>
        <v>51274.26</v>
      </c>
      <c r="J91" s="105">
        <f t="shared" si="131"/>
        <v>53491.495000000003</v>
      </c>
      <c r="K91" s="105">
        <f t="shared" si="131"/>
        <v>55971.040996000003</v>
      </c>
      <c r="L91" s="105">
        <f t="shared" si="131"/>
        <v>58572.109023640005</v>
      </c>
      <c r="M91" s="105">
        <f t="shared" si="131"/>
        <v>61300.905262124812</v>
      </c>
    </row>
    <row r="92" spans="1:15" s="97" customFormat="1" ht="14.5" thickTop="1" x14ac:dyDescent="0.3">
      <c r="A92" s="98" t="s">
        <v>138</v>
      </c>
      <c r="B92" s="99"/>
      <c r="C92" s="99"/>
      <c r="D92" s="100"/>
      <c r="E92" s="101">
        <f>IFERROR(E91/D91-1,"na")</f>
        <v>8.3566940550990898E-2</v>
      </c>
      <c r="F92" s="101">
        <f t="shared" ref="F92" si="132">IFERROR(F91/E91-1,"na")</f>
        <v>5.5577858066818253E-2</v>
      </c>
      <c r="G92" s="101">
        <f t="shared" ref="G92" si="133">IFERROR(G91/F91-1,"na")</f>
        <v>2.5670821888865492E-2</v>
      </c>
      <c r="H92" s="101">
        <f t="shared" ref="H92" si="134">IFERROR(H91/G91-1,"na")</f>
        <v>1.4151817900916575E-2</v>
      </c>
      <c r="I92" s="101">
        <f t="shared" ref="I92" si="135">IFERROR(I91/H91-1,"na")</f>
        <v>4.1482369190770196E-2</v>
      </c>
      <c r="J92" s="101">
        <f t="shared" ref="J92" si="136">IFERROR(J91/I91-1,"na")</f>
        <v>4.3242652356172417E-2</v>
      </c>
      <c r="K92" s="101">
        <f t="shared" ref="K92" si="137">IFERROR(K91/J91-1,"na")</f>
        <v>4.635402312087189E-2</v>
      </c>
      <c r="L92" s="101">
        <f t="shared" ref="L92" si="138">IFERROR(L91/K91-1,"na")</f>
        <v>4.6471675018977976E-2</v>
      </c>
      <c r="M92" s="101">
        <f t="shared" ref="M92" si="139">IFERROR(M91/L91-1,"na")</f>
        <v>4.6588662828983107E-2</v>
      </c>
    </row>
    <row r="93" spans="1:15" ht="14.5" thickBot="1" x14ac:dyDescent="0.35">
      <c r="A93" s="103" t="s">
        <v>140</v>
      </c>
      <c r="B93" s="104"/>
      <c r="C93" s="104"/>
      <c r="D93" s="105">
        <f>D79+D83+D89</f>
        <v>21035</v>
      </c>
      <c r="E93" s="105">
        <f t="shared" ref="E93:M93" si="140">E79+E83+E89</f>
        <v>23949</v>
      </c>
      <c r="F93" s="105">
        <f t="shared" si="140"/>
        <v>26599</v>
      </c>
      <c r="G93" s="105">
        <f t="shared" si="140"/>
        <v>25679</v>
      </c>
      <c r="H93" s="105">
        <f t="shared" si="140"/>
        <v>24958</v>
      </c>
      <c r="I93" s="105">
        <f t="shared" si="140"/>
        <v>25786.560000000005</v>
      </c>
      <c r="J93" s="105">
        <f t="shared" si="140"/>
        <v>26729.410000000003</v>
      </c>
      <c r="K93" s="105">
        <f t="shared" si="140"/>
        <v>27870.851746000004</v>
      </c>
      <c r="L93" s="105">
        <f t="shared" si="140"/>
        <v>29066.91031114</v>
      </c>
      <c r="M93" s="105">
        <f t="shared" si="140"/>
        <v>30320.446613999804</v>
      </c>
    </row>
    <row r="94" spans="1:15" ht="14.5" thickTop="1" x14ac:dyDescent="0.3">
      <c r="A94" s="98" t="s">
        <v>153</v>
      </c>
      <c r="B94" s="99"/>
      <c r="C94" s="99"/>
      <c r="D94" s="100"/>
      <c r="E94" s="101">
        <f>E93/D93-1</f>
        <v>0.13853101972902304</v>
      </c>
      <c r="F94" s="101">
        <f t="shared" ref="F94" si="141">F93/E93-1</f>
        <v>0.1106518017453757</v>
      </c>
      <c r="G94" s="101">
        <f t="shared" ref="G94" si="142">G93/F93-1</f>
        <v>-3.4587766457385594E-2</v>
      </c>
      <c r="H94" s="101">
        <f t="shared" ref="H94" si="143">H93/G93-1</f>
        <v>-2.8077417344912203E-2</v>
      </c>
      <c r="I94" s="101">
        <f t="shared" ref="I94" si="144">I93/H93-1</f>
        <v>3.3198172930523517E-2</v>
      </c>
      <c r="J94" s="101">
        <f t="shared" ref="J94" si="145">J93/I93-1</f>
        <v>3.6563620738865543E-2</v>
      </c>
      <c r="K94" s="101">
        <f t="shared" ref="K94" si="146">K93/J93-1</f>
        <v>4.2703589267402364E-2</v>
      </c>
      <c r="L94" s="101">
        <f t="shared" ref="L94" si="147">L93/K93-1</f>
        <v>4.2914316937287422E-2</v>
      </c>
      <c r="M94" s="101">
        <f t="shared" ref="M94" si="148">M93/L93-1</f>
        <v>4.3125887459025236E-2</v>
      </c>
    </row>
    <row r="96" spans="1:15" x14ac:dyDescent="0.3">
      <c r="A96" s="95" t="s">
        <v>117</v>
      </c>
      <c r="B96" s="94"/>
      <c r="C96" s="94"/>
      <c r="D96" s="107">
        <v>41380</v>
      </c>
      <c r="E96" s="107">
        <v>44838</v>
      </c>
      <c r="F96" s="107">
        <v>47330</v>
      </c>
      <c r="G96" s="107">
        <v>48545</v>
      </c>
      <c r="H96" s="107">
        <v>49232</v>
      </c>
      <c r="I96" s="93">
        <f>I91</f>
        <v>51274.26</v>
      </c>
      <c r="J96" s="93">
        <f t="shared" ref="J96:M96" si="149">J91</f>
        <v>53491.495000000003</v>
      </c>
      <c r="K96" s="93">
        <f t="shared" si="149"/>
        <v>55971.040996000003</v>
      </c>
      <c r="L96" s="93">
        <f t="shared" si="149"/>
        <v>58572.109023640005</v>
      </c>
      <c r="M96" s="93">
        <f t="shared" si="149"/>
        <v>61300.905262124812</v>
      </c>
    </row>
  </sheetData>
  <pageMargins left="0.7" right="0.7" top="0.75" bottom="0.75" header="0.3" footer="0.3"/>
  <pageSetup paperSize="9" orientation="portrait" horizontalDpi="1200" verticalDpi="1200" r:id="rId1"/>
  <ignoredErrors>
    <ignoredError sqref="E23:H23 E27:H27"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B61C5-4400-4B8C-B401-E7EBB02C1043}">
  <dimension ref="A1:I37"/>
  <sheetViews>
    <sheetView showGridLines="0" zoomScale="90" zoomScaleNormal="90" workbookViewId="0">
      <selection activeCell="S17" sqref="S17"/>
    </sheetView>
  </sheetViews>
  <sheetFormatPr defaultColWidth="8.81640625" defaultRowHeight="14" x14ac:dyDescent="0.3"/>
  <cols>
    <col min="1" max="4" width="8.81640625" style="182"/>
    <col min="5" max="5" width="8.81640625" style="182" customWidth="1"/>
    <col min="6" max="16384" width="8.81640625" style="182"/>
  </cols>
  <sheetData>
    <row r="1" spans="1:9" ht="18" x14ac:dyDescent="0.4">
      <c r="A1" s="314" t="s">
        <v>270</v>
      </c>
    </row>
    <row r="4" spans="1:9" ht="18" x14ac:dyDescent="0.4">
      <c r="A4" s="316" t="s">
        <v>272</v>
      </c>
    </row>
    <row r="5" spans="1:9" x14ac:dyDescent="0.3">
      <c r="A5" s="318"/>
      <c r="B5" s="318"/>
      <c r="C5" s="318"/>
      <c r="D5" s="318"/>
      <c r="E5" s="318"/>
      <c r="F5" s="318"/>
      <c r="G5" s="318"/>
      <c r="H5" s="318"/>
      <c r="I5" s="318"/>
    </row>
    <row r="14" spans="1:9" ht="18" x14ac:dyDescent="0.4">
      <c r="A14" s="316" t="s">
        <v>271</v>
      </c>
    </row>
    <row r="15" spans="1:9" x14ac:dyDescent="0.3">
      <c r="A15" s="318"/>
      <c r="B15" s="318"/>
      <c r="C15" s="318"/>
      <c r="D15" s="318"/>
    </row>
    <row r="22" spans="1:4" ht="18" x14ac:dyDescent="0.4">
      <c r="A22" s="316" t="s">
        <v>273</v>
      </c>
    </row>
    <row r="23" spans="1:4" ht="18" x14ac:dyDescent="0.4">
      <c r="A23" s="317"/>
      <c r="B23" s="318"/>
      <c r="C23" s="318"/>
      <c r="D23" s="318"/>
    </row>
    <row r="24" spans="1:4" x14ac:dyDescent="0.3">
      <c r="A24" s="315"/>
      <c r="B24" s="313"/>
    </row>
    <row r="25" spans="1:4" x14ac:dyDescent="0.3">
      <c r="A25" s="315"/>
    </row>
    <row r="26" spans="1:4" x14ac:dyDescent="0.3">
      <c r="A26" s="315"/>
    </row>
    <row r="27" spans="1:4" x14ac:dyDescent="0.3">
      <c r="A27" s="315"/>
    </row>
    <row r="28" spans="1:4" x14ac:dyDescent="0.3">
      <c r="A28" s="315"/>
    </row>
    <row r="29" spans="1:4" x14ac:dyDescent="0.3">
      <c r="A29" s="315"/>
    </row>
    <row r="30" spans="1:4" x14ac:dyDescent="0.3">
      <c r="A30" s="315"/>
    </row>
    <row r="31" spans="1:4" x14ac:dyDescent="0.3">
      <c r="A31" s="315"/>
    </row>
    <row r="32" spans="1:4" x14ac:dyDescent="0.3">
      <c r="A32" s="315"/>
    </row>
    <row r="33" spans="1:1" x14ac:dyDescent="0.3">
      <c r="A33" s="315"/>
    </row>
    <row r="34" spans="1:1" x14ac:dyDescent="0.3">
      <c r="A34" s="315"/>
    </row>
    <row r="35" spans="1:1" x14ac:dyDescent="0.3">
      <c r="A35" s="315"/>
    </row>
    <row r="36" spans="1:1" x14ac:dyDescent="0.3">
      <c r="A36" s="315"/>
    </row>
    <row r="37" spans="1:1" x14ac:dyDescent="0.3">
      <c r="A37" s="31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 Page</vt:lpstr>
      <vt:lpstr>Business Valuation (DFC) Model</vt:lpstr>
      <vt:lpstr>Revenue Assumptions</vt:lpstr>
      <vt:lpstr>Misc. Assumptions</vt:lpstr>
      <vt:lpstr>'Cover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CFI</dc:creator>
  <cp:lastModifiedBy>Kashif Javaid | ACS Consulting</cp:lastModifiedBy>
  <cp:lastPrinted>2014-12-13T23:43:21Z</cp:lastPrinted>
  <dcterms:created xsi:type="dcterms:W3CDTF">2014-11-08T22:00:02Z</dcterms:created>
  <dcterms:modified xsi:type="dcterms:W3CDTF">2020-03-12T10:45:34Z</dcterms:modified>
</cp:coreProperties>
</file>